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55" windowWidth="9720" windowHeight="6300" activeTab="0"/>
  </bookViews>
  <sheets>
    <sheet name="Лист2" sheetId="1" r:id="rId1"/>
  </sheets>
  <definedNames>
    <definedName name="_xlnm.Print_Titles" localSheetId="0">'Лист2'!$7:$11</definedName>
    <definedName name="_xlnm.Print_Area" localSheetId="0">'Лист2'!$A$1:$S$332</definedName>
  </definedNames>
  <calcPr fullCalcOnLoad="1"/>
</workbook>
</file>

<file path=xl/sharedStrings.xml><?xml version="1.0" encoding="utf-8"?>
<sst xmlns="http://schemas.openxmlformats.org/spreadsheetml/2006/main" count="1011" uniqueCount="748">
  <si>
    <t>091303</t>
  </si>
  <si>
    <t>091304</t>
  </si>
  <si>
    <t>100208</t>
  </si>
  <si>
    <t>240900</t>
  </si>
  <si>
    <t>Інші культурно-освітні заклади та заходи (Централізована бухгалтерія)</t>
  </si>
  <si>
    <t xml:space="preserve"> - міська програма реформування медичного обслуговування населення м. Южноукраїнська на 2013-2018 р.</t>
  </si>
  <si>
    <t>250362</t>
  </si>
  <si>
    <t xml:space="preserve">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t>
  </si>
  <si>
    <t>250102</t>
  </si>
  <si>
    <t>Резервний фонд</t>
  </si>
  <si>
    <t>250388</t>
  </si>
  <si>
    <t>150110</t>
  </si>
  <si>
    <t>Проведення невідкладних відновлювальних робіт, будівництво та реконструкція загальноосвітніх навчальних закладів</t>
  </si>
  <si>
    <t>120201</t>
  </si>
  <si>
    <t>видатки споживання</t>
  </si>
  <si>
    <t>Код                                     програмної класифікації видатків та кредиту- вання місцевого бюджету</t>
  </si>
  <si>
    <t>Код                            тимчасової класифікації видатків та кредитуван-  ня місцевого бюджету</t>
  </si>
  <si>
    <t>Назва головного розпорядника коштів</t>
  </si>
  <si>
    <t>081002</t>
  </si>
  <si>
    <t>1512220</t>
  </si>
  <si>
    <t>Інші заходи в галузі охорони здоров'я - всього,                                              в тому числі:</t>
  </si>
  <si>
    <t xml:space="preserve"> - міська програма реформування медичного обслуговування населення міста Южноукраїнська на 2013-2018 роки </t>
  </si>
  <si>
    <t xml:space="preserve"> - міська програма  запобігання та лікування  серцево-судинних та судинно-мозкових захворювань на 2015-2020 роки</t>
  </si>
  <si>
    <t>Програма і централізовані заходи профілактики ВІЛ-інфекції/СНІДу (Міська Соціальна програма  протидії ВІЛ- інфекції / СНІДу  на 2014-2019 р.р.)</t>
  </si>
  <si>
    <t>081007</t>
  </si>
  <si>
    <t>081008</t>
  </si>
  <si>
    <t>081009</t>
  </si>
  <si>
    <t>081010</t>
  </si>
  <si>
    <t>1110000</t>
  </si>
  <si>
    <t>091102</t>
  </si>
  <si>
    <t>7516310</t>
  </si>
  <si>
    <t xml:space="preserve">Цільові фонди, утворені Верховною Радою Автономної Республіки Крим, органами місцевого самоврядування і місцевими органами виконавчої влади </t>
  </si>
  <si>
    <t>100602</t>
  </si>
  <si>
    <t>7516150</t>
  </si>
  <si>
    <t>Програми і централізовані заходи у галузі охорони здоров'я</t>
  </si>
  <si>
    <t>0318021</t>
  </si>
  <si>
    <t>0318020</t>
  </si>
  <si>
    <t xml:space="preserve"> - міська комплексна програма "Молоде покоління Южноукраїнська на 2012-2015 роки"</t>
  </si>
  <si>
    <t xml:space="preserve"> - міська програма щодо організації мобілізаційної роботи в місті Южноукраїнську на 2014-2015 роки</t>
  </si>
  <si>
    <t>Проведення виборів та референдумів</t>
  </si>
  <si>
    <t xml:space="preserve">Керівництво і управління у сфері молоді, спорту та культури у містах республіканського Автономного Республіки Крим та обласного значення (утримання управління молоді, спорту та культури Южноукраїнської міської ради) </t>
  </si>
  <si>
    <t>4016100</t>
  </si>
  <si>
    <t xml:space="preserve"> - по міській цільовій програмі цивільного захисту міста Южноукраїнська Миколаївської області на 2009 - 2013 роки -</t>
  </si>
  <si>
    <t>180404</t>
  </si>
  <si>
    <t>100101</t>
  </si>
  <si>
    <t>В тому числі видатки за рахунок субвенцій з державного бюджету</t>
  </si>
  <si>
    <t>090308</t>
  </si>
  <si>
    <t>090215</t>
  </si>
  <si>
    <t>061007</t>
  </si>
  <si>
    <t>10</t>
  </si>
  <si>
    <t>091101</t>
  </si>
  <si>
    <t>250203</t>
  </si>
  <si>
    <t>0316310</t>
  </si>
  <si>
    <t>1011010</t>
  </si>
  <si>
    <t>1011020</t>
  </si>
  <si>
    <t>Надання позашкільної освіти позашкільними закладами освіти, заходи із позашкільної роботи з дітьми</t>
  </si>
  <si>
    <t xml:space="preserve">Методичне забезпечення діяльності навчальних закладів та інші заходи в галузі освіти </t>
  </si>
  <si>
    <t xml:space="preserve">Централізоване ведення бухгалтерського обліку </t>
  </si>
  <si>
    <t xml:space="preserve">Утримання інших закладів освіти </t>
  </si>
  <si>
    <t>Надання допомоги дітям-сиротам та дітям, позбавленим батьківського піклування, яким виповнюється 18 років</t>
  </si>
  <si>
    <t>1513011</t>
  </si>
  <si>
    <t>1513021</t>
  </si>
  <si>
    <t>1513012</t>
  </si>
  <si>
    <t>1513013</t>
  </si>
  <si>
    <t>1513023</t>
  </si>
  <si>
    <t>1011802</t>
  </si>
  <si>
    <t>Інші освітні програми (Міська програма розвитку освіти в м.Южноукраїнську на 2011-2015 роки в частині видатків "Сучасні підходи до енергозбереження в закладах освіти" за рахунок субвенції з державного бюджету місцевим бюджетам на фінансування Програм-переможців Всеукраїнського конкурсу проектів та програм розвитку місцевого самоврядування на умовах співфінансування )</t>
  </si>
  <si>
    <t>Фінансова підтримка об'єктів комунального господарства</t>
  </si>
  <si>
    <t>1513050</t>
  </si>
  <si>
    <t>1513015</t>
  </si>
  <si>
    <t>1513041</t>
  </si>
  <si>
    <t>1513042</t>
  </si>
  <si>
    <t>1513043</t>
  </si>
  <si>
    <t>1513044</t>
  </si>
  <si>
    <t>1513045</t>
  </si>
  <si>
    <t xml:space="preserve">Надання допомоги на дітей одиноким матерям  (за рахунок субвенції з державного бюджету)  </t>
  </si>
  <si>
    <t>1513046</t>
  </si>
  <si>
    <t>1513047</t>
  </si>
  <si>
    <t>1513048</t>
  </si>
  <si>
    <t>1513016</t>
  </si>
  <si>
    <t>1513026</t>
  </si>
  <si>
    <t>1513402</t>
  </si>
  <si>
    <t>7518010</t>
  </si>
  <si>
    <t>1513080</t>
  </si>
  <si>
    <t>1513201</t>
  </si>
  <si>
    <t>1513090</t>
  </si>
  <si>
    <t>1513104</t>
  </si>
  <si>
    <t>Забезпечення соціальними послугами громадян похилого віку, інвалідів, дітей-інвалідів, хворих, які не здатні до самообслуговування, потребують сторонньої допомоги, фізичними особами (міська комплексна програма "Турбота" на 2013 - 2017 роки)</t>
  </si>
  <si>
    <t>1513181</t>
  </si>
  <si>
    <t xml:space="preserve"> - капітальний ремонт житлового фонду за рахунок субвенції з з державного бюджету місцевим бюджетам на здійснення заходів щодо соціально-економічного розвитку окремих територій</t>
  </si>
  <si>
    <t xml:space="preserve">Інші видатки </t>
  </si>
  <si>
    <t xml:space="preserve">Інші правоохоронні заходи і заклади </t>
  </si>
  <si>
    <t>1513401</t>
  </si>
  <si>
    <t xml:space="preserve"> - благоустрій  міст, сіл, селищ за рахунок субвенції з державного бюджету місцевим бюджетам на здійснення заходів щодо соціально-економічного розвитку окремих територій</t>
  </si>
  <si>
    <t>1513190</t>
  </si>
  <si>
    <t>1513202</t>
  </si>
  <si>
    <t>1513049</t>
  </si>
  <si>
    <t>1513182</t>
  </si>
  <si>
    <t>1513183</t>
  </si>
  <si>
    <t>1513035</t>
  </si>
  <si>
    <t>1513037</t>
  </si>
  <si>
    <t>4016010</t>
  </si>
  <si>
    <t>4016021</t>
  </si>
  <si>
    <t>4016052</t>
  </si>
  <si>
    <t>4016060</t>
  </si>
  <si>
    <t>4016310</t>
  </si>
  <si>
    <t>4016330</t>
  </si>
  <si>
    <t>4016650</t>
  </si>
  <si>
    <t>4017420</t>
  </si>
  <si>
    <t>Інші культурно-освітні заклади та заходи (програма розвитку культури, фізичної культури, спорту та туризму в м.Южноукраїнську на 2014-2018 роки)</t>
  </si>
  <si>
    <t>Центри соціальних служб для сім’ї, дітей та молоді</t>
  </si>
  <si>
    <t>Видатки на запобігання та ліквідацію надзвичайних ситуацій та наслідків стихійного лиха (Міська програма "Цільова  програма  захисту  населення і територій від надзвичайних ситуацій техногенного та природного характеру на 2014-2017 роки")</t>
  </si>
  <si>
    <t xml:space="preserve">Заходи державної політики з питань молоді (міська комплексна програма "Молоде покоління Южноукраїнська на 2012-2015 роки") </t>
  </si>
  <si>
    <t>Найменування програми/підпрограми видатків та кредитування місцевих бюджетів</t>
  </si>
  <si>
    <t>Капітальний ремонт об'єктів житлового господарства</t>
  </si>
  <si>
    <t>Капітальний ремонт житлового фонду ,                                 в  тому числі:</t>
  </si>
  <si>
    <t xml:space="preserve"> - капітальний ремонт житлового фонду за рахунок субвенції з державного бюджету</t>
  </si>
  <si>
    <t xml:space="preserve">Інші культурно-освітні заклади та заходи </t>
  </si>
  <si>
    <t>Цільовий фонд Южноукраїнської міської ради для вирішення питань розвитку інфраструктури міста,                                                           в тому числі:</t>
  </si>
  <si>
    <t>2414060</t>
  </si>
  <si>
    <t>2414070</t>
  </si>
  <si>
    <t>Школи естетичного виховання дітей</t>
  </si>
  <si>
    <t>2414100</t>
  </si>
  <si>
    <t>2413140</t>
  </si>
  <si>
    <t>2415011</t>
  </si>
  <si>
    <t>2415012</t>
  </si>
  <si>
    <t>2415060</t>
  </si>
  <si>
    <t>6713140</t>
  </si>
  <si>
    <t>6717810</t>
  </si>
  <si>
    <t>1113131</t>
  </si>
  <si>
    <t>0300000</t>
  </si>
  <si>
    <t>0317214</t>
  </si>
  <si>
    <t>0317210</t>
  </si>
  <si>
    <t xml:space="preserve">Підтримка засобів масової інформації </t>
  </si>
  <si>
    <t xml:space="preserve"> - міська програма розвитку культури, фізичної культури, спорту та туризму в м.Южноукраїнську на 2014-2018 роки</t>
  </si>
  <si>
    <t>0318600</t>
  </si>
  <si>
    <t>0310000</t>
  </si>
  <si>
    <t>Разом:</t>
  </si>
  <si>
    <t>Разом :</t>
  </si>
  <si>
    <t>1000000</t>
  </si>
  <si>
    <t>1010000</t>
  </si>
  <si>
    <t>1500000</t>
  </si>
  <si>
    <t>1510000</t>
  </si>
  <si>
    <t>1513010</t>
  </si>
  <si>
    <t>1513020</t>
  </si>
  <si>
    <t>6718600</t>
  </si>
  <si>
    <t>6718601</t>
  </si>
  <si>
    <t>1513030</t>
  </si>
  <si>
    <t>1513040</t>
  </si>
  <si>
    <t>1513100</t>
  </si>
  <si>
    <t xml:space="preserve"> - за рахунок субвенції з з державного бюджету на фінансування заходів щодо соціально-економічної компенсації ризику населення, яке проживає на території зони спостереження</t>
  </si>
  <si>
    <t xml:space="preserve">Надання соціальних та реабілітаційних послуг громадянам похилого віку, інвалідам, дітям-інвалідам в установах соціального обслуговування </t>
  </si>
  <si>
    <t xml:space="preserve">Надання соціальних гарантій інвалідам, фізичним особам, які надають соціальні послуги громадянам похилого віку, інвалідам, дітям –інвалідам, хворим, які не здатні до самообслуговування і потребують сторонньої допомоги </t>
  </si>
  <si>
    <t>1513180</t>
  </si>
  <si>
    <t>1513200</t>
  </si>
  <si>
    <t>Соціальний захист ветеранів війни та праці</t>
  </si>
  <si>
    <t>1513400</t>
  </si>
  <si>
    <t>4000000</t>
  </si>
  <si>
    <t>4010000</t>
  </si>
  <si>
    <t>1513017</t>
  </si>
  <si>
    <t>090407</t>
  </si>
  <si>
    <t>4016020</t>
  </si>
  <si>
    <t>4016050</t>
  </si>
  <si>
    <t>7500000</t>
  </si>
  <si>
    <t>7510000</t>
  </si>
  <si>
    <t>2400000</t>
  </si>
  <si>
    <t>2410000</t>
  </si>
  <si>
    <t>2415010</t>
  </si>
  <si>
    <t>Проведення спортивної роботи в регіоні</t>
  </si>
  <si>
    <t>6700000</t>
  </si>
  <si>
    <t>6710000</t>
  </si>
  <si>
    <t>6717100</t>
  </si>
  <si>
    <t>200000</t>
  </si>
  <si>
    <t>201000</t>
  </si>
  <si>
    <r>
      <t xml:space="preserve">Служба у справах дітей Южноукраїнської міської ради </t>
    </r>
    <r>
      <rPr>
        <i/>
        <sz val="14"/>
        <rFont val="Times New Roman"/>
        <family val="1"/>
      </rPr>
      <t>(головний розпорядник)</t>
    </r>
  </si>
  <si>
    <r>
      <t xml:space="preserve">Служба у справах дітей Южноукраїнської міської ради </t>
    </r>
    <r>
      <rPr>
        <i/>
        <sz val="14"/>
        <rFont val="Times New Roman"/>
        <family val="1"/>
      </rPr>
      <t xml:space="preserve">(відповідальний виконавець) </t>
    </r>
  </si>
  <si>
    <t>1100000</t>
  </si>
  <si>
    <t>1113130</t>
  </si>
  <si>
    <t>Здійснення соціальної роботи з вразливими категоріями населення</t>
  </si>
  <si>
    <t>Програма стабілізації та соціально-економічного розвитку територій (програма реформування і розвитку житлово-комунального господарства міста Южноукраїнська на 2010-2014 роки)</t>
  </si>
  <si>
    <t>Здійснення централізованого господарського обслуговування</t>
  </si>
  <si>
    <t>240344</t>
  </si>
  <si>
    <t xml:space="preserve">Дошкільна освiта                                                                         </t>
  </si>
  <si>
    <t>Благоустрій  міст, сіл, селищ ,                                                           в тому числі по:</t>
  </si>
  <si>
    <t>Цільовий фонд Южноукраїнської міської ради для вирішення питань розвитку інфраструктури міста (поточний ремонт баскетбольного майданчику ЗОШ №1, придбання бітуму, поточний ремонт системи каналізації ДНЗ №6)</t>
  </si>
  <si>
    <t>Реалізація заходів щодо інвестиційного розвитку території,                                                                                                   в тому числі :</t>
  </si>
  <si>
    <t>Програма стабілізації та соціально-економічного розвитку територій ,                                                                                     в тому числі по:</t>
  </si>
  <si>
    <t>2419232</t>
  </si>
  <si>
    <t>Культура і мистецтво (утримання закладів культури)</t>
  </si>
  <si>
    <t>120400</t>
  </si>
  <si>
    <t>130106</t>
  </si>
  <si>
    <t>Фізична культура і спорт</t>
  </si>
  <si>
    <t>130000</t>
  </si>
  <si>
    <t xml:space="preserve">Видатки загального фонду </t>
  </si>
  <si>
    <t>із них:</t>
  </si>
  <si>
    <t xml:space="preserve"> - утримання виконавчого комітету Южноукраїнської міської ради)</t>
  </si>
  <si>
    <t>010116</t>
  </si>
  <si>
    <t>250404</t>
  </si>
  <si>
    <t>130107</t>
  </si>
  <si>
    <t>091204</t>
  </si>
  <si>
    <t>170102</t>
  </si>
  <si>
    <t>090405</t>
  </si>
  <si>
    <t>090401</t>
  </si>
  <si>
    <t>090413</t>
  </si>
  <si>
    <t>091209</t>
  </si>
  <si>
    <t>091207</t>
  </si>
  <si>
    <t>0318601</t>
  </si>
  <si>
    <t>6717101</t>
  </si>
  <si>
    <t>090412</t>
  </si>
  <si>
    <t>090416</t>
  </si>
  <si>
    <t>091300</t>
  </si>
  <si>
    <t>100102</t>
  </si>
  <si>
    <t>100203</t>
  </si>
  <si>
    <t>170703</t>
  </si>
  <si>
    <t>210110</t>
  </si>
  <si>
    <t>150101</t>
  </si>
  <si>
    <t>Всього видатки бюджету міста:</t>
  </si>
  <si>
    <t>250301</t>
  </si>
  <si>
    <t>тис.грн.</t>
  </si>
  <si>
    <t>Видатки спеціального фонду</t>
  </si>
  <si>
    <t>090201</t>
  </si>
  <si>
    <t>090202</t>
  </si>
  <si>
    <t>090204</t>
  </si>
  <si>
    <t>090302</t>
  </si>
  <si>
    <t>090303</t>
  </si>
  <si>
    <t>090304</t>
  </si>
  <si>
    <t>090305</t>
  </si>
  <si>
    <t>090306</t>
  </si>
  <si>
    <t>070101</t>
  </si>
  <si>
    <t>070201</t>
  </si>
  <si>
    <t>070401</t>
  </si>
  <si>
    <t>070802</t>
  </si>
  <si>
    <t>070804</t>
  </si>
  <si>
    <t>070805</t>
  </si>
  <si>
    <t>070806</t>
  </si>
  <si>
    <t>110201</t>
  </si>
  <si>
    <t>110205</t>
  </si>
  <si>
    <t>110502</t>
  </si>
  <si>
    <t>090207</t>
  </si>
  <si>
    <t>110202</t>
  </si>
  <si>
    <t>180109</t>
  </si>
  <si>
    <t>170302</t>
  </si>
  <si>
    <t>090417</t>
  </si>
  <si>
    <t>070808</t>
  </si>
  <si>
    <t>210105</t>
  </si>
  <si>
    <t>090205</t>
  </si>
  <si>
    <t>090208</t>
  </si>
  <si>
    <t>090307</t>
  </si>
  <si>
    <t>240601</t>
  </si>
  <si>
    <t>110000</t>
  </si>
  <si>
    <t>Культура і мистецтво (всього)</t>
  </si>
  <si>
    <t>Бібліотеки</t>
  </si>
  <si>
    <t>Музеї і виставки</t>
  </si>
  <si>
    <t>100202</t>
  </si>
  <si>
    <t>070807</t>
  </si>
  <si>
    <t>090212</t>
  </si>
  <si>
    <t>091103</t>
  </si>
  <si>
    <t>капітальні видатки за рахунок коштів, що передаються із загального фонду до бюджету розвитку (спеціального фонду)</t>
  </si>
  <si>
    <t>130115</t>
  </si>
  <si>
    <t>0317212</t>
  </si>
  <si>
    <t xml:space="preserve">Підтримка періодичних видань (газет та журналів)(міська програма підтримки газети Южноукраїнської міської ради "Контакт" на 2009 - 2014 роки - фінансова допомога на послуги друку, яка надавалась у 2012 році ) </t>
  </si>
  <si>
    <t xml:space="preserve">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 </t>
  </si>
  <si>
    <t>1011090</t>
  </si>
  <si>
    <t>1011220</t>
  </si>
  <si>
    <t>1011230</t>
  </si>
  <si>
    <t>1511060</t>
  </si>
  <si>
    <t>7518120</t>
  </si>
  <si>
    <t>2414200</t>
  </si>
  <si>
    <t>2414201</t>
  </si>
  <si>
    <t>2414202</t>
  </si>
  <si>
    <t>6717840</t>
  </si>
  <si>
    <t>1113132</t>
  </si>
  <si>
    <t xml:space="preserve">Реверсна дотація </t>
  </si>
  <si>
    <t>130102</t>
  </si>
  <si>
    <t>090406</t>
  </si>
  <si>
    <t>070303</t>
  </si>
  <si>
    <t>091205</t>
  </si>
  <si>
    <t>250344</t>
  </si>
  <si>
    <t>1513403</t>
  </si>
  <si>
    <t>Інші видатки на соціальний захист населення (надання одноразової матеріальної допомоги дітям військовослужбовців, які  загинули або померли внаслідок поранення, контузії чи каліцтва, одержаних при виконанні службових обов’язків на тимчасово окупованій території Автономної Республіки Крим, м.Севастополя та під час участі в антитерористичній  операції (АТО) на сході України на 2015 рік (за рахунок субвенції з обласного бюджету)</t>
  </si>
  <si>
    <t>210106</t>
  </si>
  <si>
    <t xml:space="preserve">Цільовий фонд Южноукраїнської міської ради для вирішення питань розвитку  інфраструктури міста </t>
  </si>
  <si>
    <t>250380</t>
  </si>
  <si>
    <t>7518800</t>
  </si>
  <si>
    <t>Інші субвенції</t>
  </si>
  <si>
    <t>7518801</t>
  </si>
  <si>
    <t>6717820</t>
  </si>
  <si>
    <t>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транспортувалися та постачалися населенню та/або іншим підприємствам централізованого питного водопостачання та водовідведення, які надають населенню послуги з централізованого водопостачання та водовідведення, яка виникла у зв'язку з невідповідністю фактичної вартості теплової енергії та послуг з централізованого водопостачання, водовідведення, опалення та постачання гарячої води тарифам, що затверджувалися та/або погоджувалися органами державної влади чи місцевого самоврядування (одержувач  КП ТВКГ)</t>
  </si>
  <si>
    <t xml:space="preserve"> - за рахунок субвенції з обласного бюджету за рахунок коштів  державного бюджету</t>
  </si>
  <si>
    <t>Заходи у сфері захисту населення і територій від надзвичайних ситуацій техногенного та природного характеру</t>
  </si>
  <si>
    <t xml:space="preserve"> - освітньої субвенції з державного бюджету</t>
  </si>
  <si>
    <t xml:space="preserve"> - субвенції з державного бюджету на фінансування заходів соціально-економічної компенсації ризику населення, яке проживає на території зони спостереження</t>
  </si>
  <si>
    <t xml:space="preserve"> - за рахунок субвенції з державного бюджету на фінансування заходів соціально-економічної компенсації ризику населення, яке проживає на території зони спостереження</t>
  </si>
  <si>
    <t xml:space="preserve"> </t>
  </si>
  <si>
    <t>0310180</t>
  </si>
  <si>
    <t>1010180</t>
  </si>
  <si>
    <t>Інші освітні програми</t>
  </si>
  <si>
    <t>1011221</t>
  </si>
  <si>
    <t>1510180</t>
  </si>
  <si>
    <t>2010180</t>
  </si>
  <si>
    <t>4010180</t>
  </si>
  <si>
    <t>4019180</t>
  </si>
  <si>
    <t>4019181</t>
  </si>
  <si>
    <t>7510180</t>
  </si>
  <si>
    <t>2410180</t>
  </si>
  <si>
    <t>2419180</t>
  </si>
  <si>
    <t>2419182</t>
  </si>
  <si>
    <t>6710180</t>
  </si>
  <si>
    <t>081006</t>
  </si>
  <si>
    <t>Реалізація заходів щодо інвестиційного розвитку території (міська програма капітального будівництва об’єктів житлово - комунального господарства та соціальної інфраструктури в м.Южноукраїнську на 2016-2020 роки)</t>
  </si>
  <si>
    <t xml:space="preserve"> -міській програмі   капітального будівництва об'єктів житлово-комунального господарства та соціальної інфраструктури м. Южноукраїнська на 2016-2020 рр.</t>
  </si>
  <si>
    <t>Утримання та розвиток інфраструктури  доріг - всього, в тому числі:</t>
  </si>
  <si>
    <t xml:space="preserve"> - міська програма розвитку  дорожнього руху та його безпеки в місті Южноукраїнську  на 2013-2017 роки</t>
  </si>
  <si>
    <t xml:space="preserve"> - міська програма капітального будівництва об'єктів житлово-комунального господарства та соціальної інфраструктури м. Южноукраїнська на 2016-2020 рр. </t>
  </si>
  <si>
    <t>Організація рятування на водах (Утримання рятувального поста)</t>
  </si>
  <si>
    <r>
      <t>Інші освітні програми (міська програма розвитку освіти в м.Южноукраїнську на 2016-2020</t>
    </r>
    <r>
      <rPr>
        <i/>
        <sz val="14"/>
        <color indexed="10"/>
        <rFont val="Times New Roman"/>
        <family val="1"/>
      </rPr>
      <t xml:space="preserve"> </t>
    </r>
    <r>
      <rPr>
        <i/>
        <sz val="14"/>
        <rFont val="Times New Roman"/>
        <family val="1"/>
      </rPr>
      <t>роки)</t>
    </r>
  </si>
  <si>
    <t>Проведення навчально - тренувальних зборів і змагань з олімпійських видів спорту - всього,                                                                                        в тому числі:</t>
  </si>
  <si>
    <t>070501</t>
  </si>
  <si>
    <t>080201</t>
  </si>
  <si>
    <t>Спеціалізована стаціонарна медична допомога населенню - всього, в тому числі:</t>
  </si>
  <si>
    <t>1011100</t>
  </si>
  <si>
    <t>Підготовка робітничих кадрів закладами професійно-технічної освіти</t>
  </si>
  <si>
    <t xml:space="preserve"> -  міська програма реформування і розвитку житлово-комунального господарства міста Южноукраїнська на 2016-2020 роки </t>
  </si>
  <si>
    <t>Охорона та раціональне використання природних ресурсів, в тому числі по:</t>
  </si>
  <si>
    <t>2013110</t>
  </si>
  <si>
    <t>090802</t>
  </si>
  <si>
    <t>Заклади і заходи з питань дітей та їх соціального захисту</t>
  </si>
  <si>
    <t>2013112</t>
  </si>
  <si>
    <t xml:space="preserve"> - медичної субвенції з державного бюджету</t>
  </si>
  <si>
    <t xml:space="preserve"> - залишку коштів медичної субвенції з державного бюджету станом на 01.01.2016</t>
  </si>
  <si>
    <t xml:space="preserve"> - коштів міського бюджету</t>
  </si>
  <si>
    <t>0318370</t>
  </si>
  <si>
    <t>090501</t>
  </si>
  <si>
    <t>Організація та проведення громадських робіт (Міська програма зайнятості  населення міста Южноукраїнська на період до 2017 року в частині оплачуваних громадських робіт)</t>
  </si>
  <si>
    <t xml:space="preserve"> - залишку коштів медичної субвенції з обласного бюджету за рахунок коштів медичної субвеції з державного бюджету станом на 01.01.2016</t>
  </si>
  <si>
    <t>Програми і заходи центрів соціальних служб для сім'ї, дітей та молоді (Міська комплексна програма  "Молоде покоління  м.Южноукраїнська" на 2016-2020 роки)</t>
  </si>
  <si>
    <t xml:space="preserve"> - міська програма розвитку дорожнього руху та його безпеки в місті Южноукраїнську на 2013-2017 роки  </t>
  </si>
  <si>
    <t xml:space="preserve"> - програма охорони довкілля та раціонального природокористування міста Южноукраїнська на 2016-2020 роки</t>
  </si>
  <si>
    <t xml:space="preserve"> - освітньої субвенції </t>
  </si>
  <si>
    <t xml:space="preserve"> - медичної субвенції</t>
  </si>
  <si>
    <t xml:space="preserve"> - міська комплексна програма  профілактики злочинності та вдосконалення системи захисту конституційних прав і свобод громадян в місті Южноукраїнську на 2016 рік</t>
  </si>
  <si>
    <t xml:space="preserve"> - міська програма Репродуктивне здоров'я населення міста Южноукраїнськ на 2016-2020 р.р</t>
  </si>
  <si>
    <t>180409</t>
  </si>
  <si>
    <t>Впровадження засобів обліку витрат та регулювання споживання води та теплової енергії (міська програма   капітального будівництва об'єктів житлово-комунального господарства та соціальної інфраструктури м. Южноукраїнська на 2016-2020 рр.)</t>
  </si>
  <si>
    <t>1512210</t>
  </si>
  <si>
    <t>1512211</t>
  </si>
  <si>
    <t>1512215</t>
  </si>
  <si>
    <t>1519180</t>
  </si>
  <si>
    <t>1519181</t>
  </si>
  <si>
    <t>1512212</t>
  </si>
  <si>
    <t>1512213</t>
  </si>
  <si>
    <t>1512214</t>
  </si>
  <si>
    <t>Забезпечення надійного та безперебійного функціонування житлово-експлуатаційного господарства - всього, в тому числі</t>
  </si>
  <si>
    <t xml:space="preserve"> - міська програма реформування і розвитку житлово - комунального господарства міста Южноукраїнська на 2016-2020 роки </t>
  </si>
  <si>
    <t xml:space="preserve"> -  міська програма управління  майном комунальної форми власності  міста Южноукраїнська на 2015-2019 роки</t>
  </si>
  <si>
    <t xml:space="preserve"> - міська програма управління  майном комунальної форми власності  міста Южноукраїнська на 2015-2019 роки </t>
  </si>
  <si>
    <t xml:space="preserve"> - міська програма приватизації об"єктів, що належать до комунальної власності територіальної громади міста Южноукраїнська на 2015-2017 роки</t>
  </si>
  <si>
    <t>6010180</t>
  </si>
  <si>
    <t>Внески до статутного капіталу суб'єктів господарювання (міська програма управління  майном комунальної форми власності  міста Южноукраїнська на 2015-2019 роки в частині фінансової допомоги комунальним підприємствам, в тому числі внески в статутний фонд комунального підприємства "Служба комунальних лабораторій" для придбання обладнання )</t>
  </si>
  <si>
    <t xml:space="preserve"> - міська Цільова  програма  захисту  населення і територій від надзвичайних ситуацій техногенного та природного характеру на 2014-2017 роки</t>
  </si>
  <si>
    <t>Субвенція з місцевого бюджету державному бюджету на виконання програм соціально-економічного та культурного розвитку регіонів ,                                             в тому числі:</t>
  </si>
  <si>
    <t>6718370</t>
  </si>
  <si>
    <t>4017470</t>
  </si>
  <si>
    <t>Надання фінансової підтримки громадським організаціям інвалідів і ветеранів, діяльність яких має соціальну спрямованість - всього, в тому числі:</t>
  </si>
  <si>
    <t>1513240</t>
  </si>
  <si>
    <t xml:space="preserve"> - субвенції за рахунок залишку коштів освітньої субвенції з державного бюджету місцевим бюджетам, що утворився на початок бюджетного періоду</t>
  </si>
  <si>
    <t>1013240</t>
  </si>
  <si>
    <t>Цільові фонди, утворені Верховною Радою Автономної Республіки Крим, органами місцевого самоврядування і місцевими органами виконавчої влади  - всього, в тому числі:</t>
  </si>
  <si>
    <t>1519182</t>
  </si>
  <si>
    <t>Цільові фонди, утворені Верховною Радою Автономної Республіки Крим, органами місцевого самоврядування і місцевими органами виконавчої влади (міська програма боротьби з онкологічними захворюваннями в місті Южноукраїнську на пероід до 2016 року)</t>
  </si>
  <si>
    <t xml:space="preserve"> Цільові фонди, утворені Верховною Радою Автономної Республіки Крим, органами місцевого самоврядування і місцевими органами виконавчої влади (міська програма  розвитку донорства крові  та її компонентів на 2012-2016 роки)</t>
  </si>
  <si>
    <t>4013240</t>
  </si>
  <si>
    <t>4011020</t>
  </si>
  <si>
    <t>Надання загальної середньої освіти загальноосвітніми навчальними закладами ( в т.ч. школою-дитячим садком,інтернатом при школі), спеціалізованими школами, ліцеями, гімназіями, колегіумами</t>
  </si>
  <si>
    <t>7518420</t>
  </si>
  <si>
    <t>250366</t>
  </si>
  <si>
    <t>7518440</t>
  </si>
  <si>
    <t xml:space="preserve">Субвенція з державного бюджету місцевим бюджетам на здійснення фінансування заходів щодо соціально-економічного розвитку окремих територій </t>
  </si>
  <si>
    <t>Т.О.Гончарова</t>
  </si>
  <si>
    <t xml:space="preserve"> - за рахунок субвенції на здійснення заходів щодо соціально-економічного розвитку окремих територій</t>
  </si>
  <si>
    <t xml:space="preserve"> - стабілізаційна дотація</t>
  </si>
  <si>
    <t xml:space="preserve"> - міська програма підтримки об'єднань співвласників багатоквартирних будинків на 2016-2018 роки </t>
  </si>
  <si>
    <t xml:space="preserve"> - за рахунок субвенції на фінансування заходів соціально-економічної компенсації ризику населення, яке проживає на території  зони спостереження</t>
  </si>
  <si>
    <t xml:space="preserve"> - міська комплексна програма "Профілактика злочинності та вдосконалення системи захисту конституційних прав і свобод громадян в місті Южноукраїнську на 2016 рік"</t>
  </si>
  <si>
    <t xml:space="preserve"> - кошти міського бюджету на співфінансування з обласним бюджетом на  проведення видатків з капітального ремонту інженерних мереж гуртожитку №8 за адресою: вул. Дружби Народів,1</t>
  </si>
  <si>
    <t>4011010</t>
  </si>
  <si>
    <t xml:space="preserve"> - міська програма Капітального будівництва об'єктів житлово-комунального господарства та соціальної інфраструктури м. Южноукраїнська на 2016-2020 роки</t>
  </si>
  <si>
    <t xml:space="preserve">Цільовий фонд Южноукраїнської міської ради для вирішення питань розвитку інфраструктури міста </t>
  </si>
  <si>
    <t xml:space="preserve"> -  міська комплексна програма "Профілактика злочинності та вдосконалення системи захисту конституційних прав і свобод громадян в місті Южноукраїнську на 2016 рік"</t>
  </si>
  <si>
    <t>0317450</t>
  </si>
  <si>
    <t>Сприяння розвиту малого та середнього підприємництва</t>
  </si>
  <si>
    <t xml:space="preserve"> - міська програма розвитку малого та середнього підприємництва в частині проведення міського конкурсу "Краще нововрічне оформлення об'єктів торгівлі та сфери побуту"</t>
  </si>
  <si>
    <t>0318602</t>
  </si>
  <si>
    <t xml:space="preserve"> - субвенція з обласного бюджету за рахунок коштів освітньої субвенції з державного бюджету</t>
  </si>
  <si>
    <t xml:space="preserve"> - кошти міського бюджету</t>
  </si>
  <si>
    <t xml:space="preserve"> -  субвенції з державного бюджету місцевим бюджетам на будівництво (придбання) житла для сімей загиблих військовослужбовців, які брали безпосередню участь в антитерористичній операції, а також для інвалідів I - II групи з числа військовослужбовців, які брали участь у зазначеній операції, та потребують поліпшення житлових умов</t>
  </si>
  <si>
    <t xml:space="preserve"> - субвенція з обласного бюджету</t>
  </si>
  <si>
    <r>
      <t xml:space="preserve">Виконавчий комітет Южноукраїнської міської ради </t>
    </r>
    <r>
      <rPr>
        <i/>
        <sz val="14"/>
        <rFont val="Times New Roman"/>
        <family val="1"/>
      </rPr>
      <t xml:space="preserve">(відповідальний виконавець) </t>
    </r>
  </si>
  <si>
    <r>
      <t xml:space="preserve">Виконавчий комітет Южноукраїнської міської ради </t>
    </r>
    <r>
      <rPr>
        <i/>
        <sz val="14"/>
        <rFont val="Times New Roman"/>
        <family val="1"/>
      </rPr>
      <t>(головний розпорядник)</t>
    </r>
  </si>
  <si>
    <r>
      <t xml:space="preserve">Управління освіти Южноукраїнської міської ради </t>
    </r>
    <r>
      <rPr>
        <i/>
        <sz val="14"/>
        <rFont val="Times New Roman"/>
        <family val="1"/>
      </rPr>
      <t xml:space="preserve">(відповідальний виконавець) </t>
    </r>
  </si>
  <si>
    <r>
      <t>Управління освіти Южноукраїнської міської ради</t>
    </r>
    <r>
      <rPr>
        <i/>
        <sz val="14"/>
        <rFont val="Times New Roman"/>
        <family val="1"/>
      </rPr>
      <t xml:space="preserve"> (головний розпорядник)</t>
    </r>
  </si>
  <si>
    <r>
      <t>Южноукраїнський міський центр соціальних служб для сім'ї, дітей та молоді</t>
    </r>
    <r>
      <rPr>
        <i/>
        <sz val="14"/>
        <rFont val="Times New Roman"/>
        <family val="1"/>
      </rPr>
      <t xml:space="preserve"> (відповідальний виконавець) </t>
    </r>
  </si>
  <si>
    <r>
      <t xml:space="preserve">Южноукраїнський міський центр соціальних служб для сім'ї, дітей та молоді </t>
    </r>
    <r>
      <rPr>
        <i/>
        <sz val="14"/>
        <rFont val="Times New Roman"/>
        <family val="1"/>
      </rPr>
      <t>(головний розпорядник)</t>
    </r>
  </si>
  <si>
    <r>
      <t xml:space="preserve">Фінансове  управління Южноукраїнської міської ради </t>
    </r>
    <r>
      <rPr>
        <i/>
        <sz val="14"/>
        <rFont val="Times New Roman"/>
        <family val="1"/>
      </rPr>
      <t>(головний розпорядник)</t>
    </r>
  </si>
  <si>
    <r>
      <rPr>
        <b/>
        <sz val="14"/>
        <rFont val="Times New Roman"/>
        <family val="1"/>
      </rPr>
      <t>Фінансове управління Южноукраїнської міської ради</t>
    </r>
    <r>
      <rPr>
        <i/>
        <sz val="14"/>
        <rFont val="Times New Roman"/>
        <family val="1"/>
      </rPr>
      <t xml:space="preserve"> (відповідальний виконавець) </t>
    </r>
  </si>
  <si>
    <r>
      <t xml:space="preserve">Управління молоді, спорту та культури Южноукраїнської міської ради </t>
    </r>
    <r>
      <rPr>
        <i/>
        <sz val="14"/>
        <rFont val="Times New Roman"/>
        <family val="1"/>
      </rPr>
      <t xml:space="preserve">(відповідальний виконавець) </t>
    </r>
  </si>
  <si>
    <r>
      <t>Управління молоді, спорту та культури Южноукраїнської міської ради</t>
    </r>
    <r>
      <rPr>
        <i/>
        <sz val="14"/>
        <rFont val="Times New Roman"/>
        <family val="1"/>
      </rPr>
      <t xml:space="preserve"> (головний розпорядник)</t>
    </r>
  </si>
  <si>
    <r>
      <t xml:space="preserve">Управління екології, охорони навколишнього середовища та земельних відносин Южноукраїнської міської ради </t>
    </r>
    <r>
      <rPr>
        <i/>
        <sz val="14"/>
        <rFont val="Times New Roman"/>
        <family val="1"/>
      </rPr>
      <t xml:space="preserve">(відповідальний виконавець)   </t>
    </r>
  </si>
  <si>
    <r>
      <t xml:space="preserve">Управління екології, охорони навколишнього середовища та земельних відносин Южноукраїнської міської ради </t>
    </r>
    <r>
      <rPr>
        <i/>
        <sz val="14"/>
        <rFont val="Times New Roman"/>
        <family val="1"/>
      </rPr>
      <t>(головний розпорядник)</t>
    </r>
  </si>
  <si>
    <t xml:space="preserve">Дошкільна освiта, в тому числі                                                                      </t>
  </si>
  <si>
    <t>Код ТПКВКМБ /
ТКВКБМС</t>
  </si>
  <si>
    <t>Код ФКВКБ</t>
  </si>
  <si>
    <t xml:space="preserve"> - міська програма інформаційної підтримки розвитку міста та діяльності органів місцевого самоврядування на 2017 -2018 роки)</t>
  </si>
  <si>
    <t xml:space="preserve"> - міська програма "Наше місто"на 2015-2019 роки)</t>
  </si>
  <si>
    <t xml:space="preserve"> - міська програма щодо організації мобілізаційної роботи в м.Южноукраїнську на 2014-2017 роки)</t>
  </si>
  <si>
    <t xml:space="preserve"> - міська програма  розвитку донорства крові  та її компонентів на 2017-2021 роки</t>
  </si>
  <si>
    <t>Централізовані заходи з лікування онкологічних хворих (Міська програма боротьби з онкологічними захворюваннями в м.Южноукраїнську на період до 2017-2020 року)</t>
  </si>
  <si>
    <t>Зааходи державної політики з питань дітей та їх соціального захисту (міська Програма захисту прав дітей міста Южноукраїнська "Дитинство"на 2013-2017 рік)</t>
  </si>
  <si>
    <t>110204</t>
  </si>
  <si>
    <t>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 (міська програма інформаційної підтримки розвитку міста та діяльності органів місцевого самоврядування на 2017-2018 роки)</t>
  </si>
  <si>
    <t>0180</t>
  </si>
  <si>
    <t>0111</t>
  </si>
  <si>
    <t>7210</t>
  </si>
  <si>
    <t>7214</t>
  </si>
  <si>
    <t>0830</t>
  </si>
  <si>
    <t>6310</t>
  </si>
  <si>
    <t>0490</t>
  </si>
  <si>
    <t>7420</t>
  </si>
  <si>
    <t>7450</t>
  </si>
  <si>
    <t>0411</t>
  </si>
  <si>
    <t>7212</t>
  </si>
  <si>
    <t>0821</t>
  </si>
  <si>
    <t>8020</t>
  </si>
  <si>
    <t>0160</t>
  </si>
  <si>
    <t>Проведення місцевих виборів (субвенція з обласного бюджету)</t>
  </si>
  <si>
    <t>8370</t>
  </si>
  <si>
    <t>8600</t>
  </si>
  <si>
    <t>8601</t>
  </si>
  <si>
    <t>8602</t>
  </si>
  <si>
    <t>0318510</t>
  </si>
  <si>
    <t>8510</t>
  </si>
  <si>
    <t>1010</t>
  </si>
  <si>
    <t>0910</t>
  </si>
  <si>
    <t xml:space="preserve">Надання загальної середньої освіти загальноосвітніми навчальними закладами ( в т.ч. школою-дитячим садком,інтернатом при школі), спеціалізованими школами, ліцеями, гімназіями, колегіумами  - всього,                                     в тому числі за рахунок:                                               </t>
  </si>
  <si>
    <t>1020</t>
  </si>
  <si>
    <t>0921</t>
  </si>
  <si>
    <t>1090</t>
  </si>
  <si>
    <t>0960</t>
  </si>
  <si>
    <t>1170</t>
  </si>
  <si>
    <t>0990</t>
  </si>
  <si>
    <t>1190</t>
  </si>
  <si>
    <t>1200</t>
  </si>
  <si>
    <t>1210</t>
  </si>
  <si>
    <t>1220</t>
  </si>
  <si>
    <t>1221</t>
  </si>
  <si>
    <t>1230</t>
  </si>
  <si>
    <t>1019180</t>
  </si>
  <si>
    <t>9180</t>
  </si>
  <si>
    <t>0133</t>
  </si>
  <si>
    <t>3240</t>
  </si>
  <si>
    <t>1070</t>
  </si>
  <si>
    <t>3130</t>
  </si>
  <si>
    <t>3131</t>
  </si>
  <si>
    <t>1040</t>
  </si>
  <si>
    <t>3132</t>
  </si>
  <si>
    <t>1060</t>
  </si>
  <si>
    <t>2220</t>
  </si>
  <si>
    <t>0763</t>
  </si>
  <si>
    <t>1512221</t>
  </si>
  <si>
    <t>1512222</t>
  </si>
  <si>
    <t>1512223</t>
  </si>
  <si>
    <t>1512224</t>
  </si>
  <si>
    <t>2221</t>
  </si>
  <si>
    <t>2222</t>
  </si>
  <si>
    <t>2223</t>
  </si>
  <si>
    <t>2224</t>
  </si>
  <si>
    <t>2210</t>
  </si>
  <si>
    <t>2211</t>
  </si>
  <si>
    <t>2212</t>
  </si>
  <si>
    <t>2213</t>
  </si>
  <si>
    <t>2214</t>
  </si>
  <si>
    <t>2215</t>
  </si>
  <si>
    <t>3010</t>
  </si>
  <si>
    <t>3012</t>
  </si>
  <si>
    <t>1030</t>
  </si>
  <si>
    <t>3013</t>
  </si>
  <si>
    <t>3016</t>
  </si>
  <si>
    <t>3015</t>
  </si>
  <si>
    <t xml:space="preserve">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(субвенція з державного бюджету) </t>
  </si>
  <si>
    <t xml:space="preserve">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 (субвенція з державного бюджету) </t>
  </si>
  <si>
    <t xml:space="preserve">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 (субвенція з державного бюджету) </t>
  </si>
  <si>
    <t xml:space="preserve">Надання пільг багатодітним сім’ям на житлово-комунальні послуги  (субвенція з державного бюджету) </t>
  </si>
  <si>
    <t xml:space="preserve">Надання субсидій населенню для відшкодування витрат на оплату житлово-комунальних послуг (субвенція з державного бюджету) </t>
  </si>
  <si>
    <t xml:space="preserve">Компенсація населенню додаткових витрат на оплату послуг газопостачання, центрального опалення та централізованого постачання гарячої води (субвенція з державного бюджету) </t>
  </si>
  <si>
    <t xml:space="preserve">Надання пільг та субсидій населенню на придбання твердого та рідкого пічного побутового палива і скрапленого газу (субвенція з державного бюджету) </t>
  </si>
  <si>
    <t xml:space="preserve">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(субвенція з державного бюджету) </t>
  </si>
  <si>
    <t>3017</t>
  </si>
  <si>
    <t>3021</t>
  </si>
  <si>
    <t>1513022</t>
  </si>
  <si>
    <t>3022</t>
  </si>
  <si>
    <t>3023</t>
  </si>
  <si>
    <t xml:space="preserve">Надання субсидій населенню для відшкодування витрат на придбання твердого та рідкого пічного побутового палива і скрапленого газу  (субвенція з державного бюджету) </t>
  </si>
  <si>
    <t>3026</t>
  </si>
  <si>
    <t>3030</t>
  </si>
  <si>
    <t xml:space="preserve">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 (субвенція з державного бюджету) </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</si>
  <si>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 (субвенція)</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</si>
  <si>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</si>
  <si>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3035</t>
  </si>
  <si>
    <t xml:space="preserve"> - міська комплексна програма "Турбота" на 2013 - 2017 роки</t>
  </si>
  <si>
    <t>3037</t>
  </si>
  <si>
    <t>3040</t>
  </si>
  <si>
    <t xml:space="preserve">Надання допомоги у зв’язку з вагітністю і пологами  (субвенція з державного бюджету) </t>
  </si>
  <si>
    <t xml:space="preserve">Надання допомоги сім'ям з дітьми, малозабезпеченим сім'ям, інвалідам з дитинства,  дітям - інвалідам та тимчасової державної допомоги дітям (субвенція з державного бюджету) </t>
  </si>
  <si>
    <t xml:space="preserve">Надання допомоги при народженні дитини (субвенція з державного бюджету) </t>
  </si>
  <si>
    <t>3041</t>
  </si>
  <si>
    <t>3042</t>
  </si>
  <si>
    <t>3043</t>
  </si>
  <si>
    <t>3044</t>
  </si>
  <si>
    <t>3045</t>
  </si>
  <si>
    <t>3046</t>
  </si>
  <si>
    <t>3047</t>
  </si>
  <si>
    <t>3048</t>
  </si>
  <si>
    <t>3049</t>
  </si>
  <si>
    <t>3050</t>
  </si>
  <si>
    <t xml:space="preserve">Надання допомоги на дітей, над якими встановлено опіку чи піклування (субвенція з державного бюджету) </t>
  </si>
  <si>
    <t xml:space="preserve">Надання тимчасової державної допомоги дітям  (субвенція з державного бюджету) </t>
  </si>
  <si>
    <t xml:space="preserve">Надання допомоги при усиновленні дитини (субвенція з державного бюджету) </t>
  </si>
  <si>
    <t xml:space="preserve">Надання державної соціальної допомоги малозабезпеченим сім’ям (субвенція з державного бюджету) </t>
  </si>
  <si>
    <t xml:space="preserve">Надання державної соціальної допомоги інвалідам з дитинства та дітям-інвалідам  (субвенція з державного бюджету) </t>
  </si>
  <si>
    <t>3080</t>
  </si>
  <si>
    <t>3090</t>
  </si>
  <si>
    <t>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</si>
  <si>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 (утримання комунального закладу "Територіальний центр соціального обслуговування (надання соціальних послуг) м.Южноукраїнськ)</t>
  </si>
  <si>
    <t>3181</t>
  </si>
  <si>
    <t>3180</t>
  </si>
  <si>
    <t>3182</t>
  </si>
  <si>
    <t>Компенсаційні виплати інвалідам на бензин, ремонт, технічне обслуговування  автомобілів, мотоколясок і на транспортне обслуговування  (субвенція з обласного бюджету)</t>
  </si>
  <si>
    <t>3183</t>
  </si>
  <si>
    <t>3190</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</si>
  <si>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 - всього, в тому числі:</t>
  </si>
  <si>
    <t xml:space="preserve"> - міська комплексна програма "Турбота" на 2013 - 2017 роки </t>
  </si>
  <si>
    <t>3200</t>
  </si>
  <si>
    <t>3201</t>
  </si>
  <si>
    <t>3202</t>
  </si>
  <si>
    <t>Інші видатки  на соціальний захист ветеранів війни та праці - всього, в тому числі:</t>
  </si>
  <si>
    <t>3400</t>
  </si>
  <si>
    <t>3401</t>
  </si>
  <si>
    <t>3402</t>
  </si>
  <si>
    <t>1050</t>
  </si>
  <si>
    <t>3110</t>
  </si>
  <si>
    <t>3112</t>
  </si>
  <si>
    <t>6010</t>
  </si>
  <si>
    <t>0610</t>
  </si>
  <si>
    <t>6020</t>
  </si>
  <si>
    <t>6021</t>
  </si>
  <si>
    <t xml:space="preserve"> - міська програма капітального будівництва об'єктів житлово-комунального господарства та соціальної інфраструктури м. Южноукраїнська на 2016-2020рр.</t>
  </si>
  <si>
    <t>6050</t>
  </si>
  <si>
    <t>0620</t>
  </si>
  <si>
    <t xml:space="preserve"> - міська програма енергозбереження в сфері житлово - комунального господарства м.Южноукраїнська   на 2016-2020 роки</t>
  </si>
  <si>
    <t>6052</t>
  </si>
  <si>
    <t>6060</t>
  </si>
  <si>
    <t>6100</t>
  </si>
  <si>
    <t>6650</t>
  </si>
  <si>
    <t>0456</t>
  </si>
  <si>
    <t>8010</t>
  </si>
  <si>
    <t>8120</t>
  </si>
  <si>
    <t>4060</t>
  </si>
  <si>
    <t>0824</t>
  </si>
  <si>
    <t>4070</t>
  </si>
  <si>
    <t>2414090</t>
  </si>
  <si>
    <t>4090</t>
  </si>
  <si>
    <t>0828</t>
  </si>
  <si>
    <t>4100</t>
  </si>
  <si>
    <t>4200</t>
  </si>
  <si>
    <t>0829</t>
  </si>
  <si>
    <t>4201</t>
  </si>
  <si>
    <t>4202</t>
  </si>
  <si>
    <t>3140</t>
  </si>
  <si>
    <t>5000</t>
  </si>
  <si>
    <t>5010</t>
  </si>
  <si>
    <t>5011</t>
  </si>
  <si>
    <t>0810</t>
  </si>
  <si>
    <t>5012</t>
  </si>
  <si>
    <t>5060</t>
  </si>
  <si>
    <t xml:space="preserve"> Утримання та навчально-тренувальна робота комунальних дитячо-юнацьких спортивних шкіл</t>
  </si>
  <si>
    <t>9110</t>
  </si>
  <si>
    <t>0511</t>
  </si>
  <si>
    <t>6017420</t>
  </si>
  <si>
    <t>6019110</t>
  </si>
  <si>
    <t>7100</t>
  </si>
  <si>
    <t>0380</t>
  </si>
  <si>
    <t>7101</t>
  </si>
  <si>
    <t>7840</t>
  </si>
  <si>
    <t>0320</t>
  </si>
  <si>
    <t>7810</t>
  </si>
  <si>
    <t>7820</t>
  </si>
  <si>
    <t>0220</t>
  </si>
  <si>
    <t>6719180</t>
  </si>
  <si>
    <t>Реалізація заходів щодо інвестиційного розвитку території (кошти міського бюджету розвитку на фінансування об'єктів за напрямами та заходами, що будуть визначені рішеннями міської ради при внесенні змін до бюджету міста Южноукраїнська на 2017 рік )</t>
  </si>
  <si>
    <t>7518600</t>
  </si>
  <si>
    <t>Керівництво і управління у відповідній сфері  у містах республіканського Автономного Республіки Крим та обласного значення,                                                                                  в тому числі:</t>
  </si>
  <si>
    <t>Керівництво і управління увідповідній сфері освіти у містах республіканського Автономного Республіки Крим та обласного значення  (утримання управління освіти Южноукраїнської міської ради)</t>
  </si>
  <si>
    <t>Керівництво і управління у відповідній сфері соціального захисту населення у містах республіканського Автономного Республіки Крим та обласного значення (утримання управління праці та соціального захисту населення Южноукраїнської міської ради)</t>
  </si>
  <si>
    <t>Керівництво і управління у відповідній сфері соціального захисту у містах республіканського Автономного Республіки Крим та обласного значення(утримання служби у справах дітей Южноукраїнської міської ради)</t>
  </si>
  <si>
    <t>Керівництво і управління у відповідній сфері житлово-комунального господарства у містах республіканського Автономного Республіки Крим та обласного значення  (утримання управління житлово-комунального господарства та будівництва Южноукраїнської міської ради)</t>
  </si>
  <si>
    <t>Керівництво і управління у відповідній сфері надзвичайних ситуацій, мобілізаційної роботи та взаємодії з правоохоронними органами у містах республіканського Автономного Республіки Крим та обласного значення (утримання Управління екології, охорони навколишнього середовища та земельних відносин Южноукраїнської міської ради)</t>
  </si>
  <si>
    <t>Керівництво і управління у відповідній сфері фінансів у містах республіканського Автономного Республіки Крим та обласного значення (утримання фінансового управління Южноукраїнської міської ради)</t>
  </si>
  <si>
    <t xml:space="preserve"> - міська соціальна програма Підтримки учасиків АТО та членів їх сімей на 2016-2020 року</t>
  </si>
  <si>
    <t xml:space="preserve"> - міська соціальна програма підтримки учаснииків АТО та членів їх сімей - "Воїни та ветерани антитерористичної операції" </t>
  </si>
  <si>
    <t xml:space="preserve"> - міська соціальна програма підтримки учасників АТО та членів їх сімей на 2016-2020 року</t>
  </si>
  <si>
    <t>Забезпечення функціонування водопровідно-каналізаційного господарства,                                                              в тому числі по:</t>
  </si>
  <si>
    <t>4016022</t>
  </si>
  <si>
    <t>100106</t>
  </si>
  <si>
    <t>Капітальний ремонт  житлового фонду об'єднань співвласників багатоквартирних будинків ( міська програма підтримки об'єднань співвласників багатоквартирних будинків на 2016-2018 роки )</t>
  </si>
  <si>
    <t>7310</t>
  </si>
  <si>
    <t>6017310</t>
  </si>
  <si>
    <t>160101</t>
  </si>
  <si>
    <t xml:space="preserve">Забезпечення належних умов для виховання та розвитку дітей-сиріт і дітей, позбавлених батьківського піклування, в дитячих будинках сімейного типу(у т.ч. сімейного типу, прийомних сім*ях),  в сім*ях патронатного вихователя (за рахунок субвенції з державного бюджету) </t>
  </si>
  <si>
    <t>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t>
  </si>
  <si>
    <t>2413143</t>
  </si>
  <si>
    <t>3143</t>
  </si>
  <si>
    <t>2415061</t>
  </si>
  <si>
    <t>5061</t>
  </si>
  <si>
    <t>Інші заходи з розвитку фізичної культури та спорту</t>
  </si>
  <si>
    <t xml:space="preserve">Реалізація державної політики у молодіжній сфері </t>
  </si>
  <si>
    <r>
      <t xml:space="preserve">Управління з питань надзвичайних ситуацій та взаємодії з правоохоронними органами Южноукраїнської міської ради </t>
    </r>
    <r>
      <rPr>
        <i/>
        <sz val="14"/>
        <rFont val="Times New Roman"/>
        <family val="1"/>
      </rPr>
      <t xml:space="preserve"> (головний розпорядник)</t>
    </r>
  </si>
  <si>
    <r>
      <t xml:space="preserve">Управління з питань надзвичайних ситуацій та взаємодії з правоохоронними органами Южноукраїнської міської ради </t>
    </r>
    <r>
      <rPr>
        <i/>
        <sz val="14"/>
        <rFont val="Times New Roman"/>
        <family val="1"/>
      </rPr>
      <t xml:space="preserve">(відповідальний виконавець) </t>
    </r>
  </si>
  <si>
    <t>Керівництво і управління у відповідній сфері надзвичайних ситуацій, мобілізаційної роботи та взаємодії з правоохоронними органами у містах республіканського Автономного Республіки Крим та обласного значення (утримання управління з питань надзвичайних ситуацій та взаємодії з правоохоронними органами Южноукраїнської міської ради)</t>
  </si>
  <si>
    <t>Інші заходи та заклади  молодіжної політики(міська комплексна програма "Молоде покоління міста Южноукраїнська" на 2016-2020 роки )</t>
  </si>
  <si>
    <t>091105</t>
  </si>
  <si>
    <t>Проведення заходів із землеустрою (міська програма "Розвиток земельних відносин на 2017-2021 роки" )</t>
  </si>
  <si>
    <t>Програма стабілізації та соціально-економічного розвитку територій  (міська програма "Розвиток земельних відносин на 2017-2021 роки" )</t>
  </si>
  <si>
    <t xml:space="preserve"> - міська програма  "Фонд міської ради на виконання депутатських повноважень" на 2017 рік </t>
  </si>
  <si>
    <t xml:space="preserve"> - міська комплексна програма "Турбота" на 2013 - 2017 роки - "Рада організації ветеранів війни, праці та військової служби";  "Спілка ветеранів Афганістану"; Товариство інвалідів;  Спілка "Союз-Чорнобиль"</t>
  </si>
  <si>
    <t xml:space="preserve">Видатки на поховання учасників бойових дій  та інвалідів війни (субвенція з обласного бюджету) </t>
  </si>
  <si>
    <t xml:space="preserve">Пільгове медичне обслуговування осіб, які постраждали внаслідок Чорнобильської катастрофи  (субвенція з обласного бюджету) </t>
  </si>
  <si>
    <t>2415030</t>
  </si>
  <si>
    <t>5030</t>
  </si>
  <si>
    <t>Розвиток дитячо-юнацького та резервного спорту</t>
  </si>
  <si>
    <t>2415031</t>
  </si>
  <si>
    <t>5031</t>
  </si>
  <si>
    <t xml:space="preserve">Надання допомоги на догляд за дитиною віком до трьох років (субвенція з державного бюджету) </t>
  </si>
  <si>
    <t>7518601</t>
  </si>
  <si>
    <t>3011</t>
  </si>
  <si>
    <t>Встановлення телефонів інвалідам І і ІІ груп (субвенція з обласного бюджету)</t>
  </si>
  <si>
    <t>Компенсаційні виплати за пільговий проїзд окремим категоріям громадян на залізничному транспорті</t>
  </si>
  <si>
    <t>3100</t>
  </si>
  <si>
    <t>3020</t>
  </si>
  <si>
    <t>0740</t>
  </si>
  <si>
    <t>1513033</t>
  </si>
  <si>
    <t>3033</t>
  </si>
  <si>
    <t>Інші видатки на соціальний захист населення , в тому числі:</t>
  </si>
  <si>
    <t xml:space="preserve"> -  за рахунок субвенції з обласного бюджет</t>
  </si>
  <si>
    <t>0421</t>
  </si>
  <si>
    <t>Благоустрій  міст, сіл, селищ (Програма охорони довкілля та раціонального природокористування міста Южноукраїнська на 2016-2020 роки)</t>
  </si>
  <si>
    <t xml:space="preserve"> - міська комплексна програма "Профілактика злочинності та вдосконалення системи захисту конституційних прав і свобод громадян в місті Южноукраїнську на 2017-2021 роки"</t>
  </si>
  <si>
    <t>1516320</t>
  </si>
  <si>
    <t>6320</t>
  </si>
  <si>
    <t>1516324</t>
  </si>
  <si>
    <t>6324</t>
  </si>
  <si>
    <t>Надання допомоги у вирішенні житлових питань</t>
  </si>
  <si>
    <t>4016051</t>
  </si>
  <si>
    <t>6051</t>
  </si>
  <si>
    <t>Забезпечення функціонування теплових мереж (міській програмі   капітального будівництва об'єктів житлово-комунального господарства та соціальної інфраструктури м. Южноукраїнська на 2016-2020 рр.)</t>
  </si>
  <si>
    <t>9181</t>
  </si>
  <si>
    <t xml:space="preserve"> - міська програма реформування і розвитку житлово - комунального господарства міста Южноукраїнська на 2016 - 2020 роки</t>
  </si>
  <si>
    <t xml:space="preserve"> - міська програма поводження з твердими побутовими відходами на території міста Южноукраїнська на 2013 - 2020 роки </t>
  </si>
  <si>
    <t xml:space="preserve"> - міська  програма охорони тваринного світу та регулювання чисельності бродячих тварин в місті  Южноукраїнську на 2017-2021 роки </t>
  </si>
  <si>
    <t xml:space="preserve"> - міська програма капітального будівництва об'єктів житлово-комунального господарства та соціальної інфраструктури м. Южноукраїнська на 2016-2020 рр.</t>
  </si>
  <si>
    <t xml:space="preserve"> - міська програма Питна вода  міста  Южноукраїнська на 2007-2020 роки</t>
  </si>
  <si>
    <t xml:space="preserve"> - міська програма реформування і розвитку житлово-комунального господарства міста Южноукраїнська на 2016-2020 роки </t>
  </si>
  <si>
    <t xml:space="preserve"> - міська програма капітального будівництва об"єктів житлово-комунального господарства  і соціальної інфраструктури м.Южноукраїнську на 2016-2020 роки)</t>
  </si>
  <si>
    <t>6016060</t>
  </si>
  <si>
    <t>Будівництво на придбання житла для окремих категорій населення (міська соціальна програма підтримки учасників АТО та членів їх сімей на 2016-2020 року в частині співфінансування з обласним бюджетом для придбання житла для сімей учасників бойових дій, які безпосередньо приймали участь в АТО)</t>
  </si>
  <si>
    <t xml:space="preserve"> - міська комплексна програма "Профілактика злочинності та вдосконалення системи захисту конституційних прав і свобод громадян в місті Южноукраїнську на 2017-2021 роки</t>
  </si>
  <si>
    <t>Інші видатки</t>
  </si>
  <si>
    <t>6330</t>
  </si>
  <si>
    <t>- міська програма Капітального будівництва об'єктів житлово-комунального господарства та соціальної інфраструктури м. Южноукраїнська на 2016-2020 роки</t>
  </si>
  <si>
    <t>2415000</t>
  </si>
  <si>
    <t>Програма і централізовані заходи з імунопрофілактики (Міська програма імунопрофілактики та захисту населення від інфекційних хвороб на 2016-2020 роки)</t>
  </si>
  <si>
    <t>Програма і централізовані заходи боротьби з туберкульозом (Міська Соціальна програма протидії  захворюванню на туберкульоз на 2014 - 2017 роки)</t>
  </si>
  <si>
    <t>Надання інших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 всього, в тому числі:</t>
  </si>
  <si>
    <t>1513031</t>
  </si>
  <si>
    <t>3031</t>
  </si>
  <si>
    <t>1513034</t>
  </si>
  <si>
    <t>3034</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</si>
  <si>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всього, в тому числі:</t>
  </si>
  <si>
    <t>Надання пільг окремим категоріям громадян з послуг зв’язку- всього, в тому числі:</t>
  </si>
  <si>
    <t>Компенсаційні виплати на пільговий проїзд автомобільним транспортом окремим категоріям громадян - всього, в тому числі:</t>
  </si>
  <si>
    <t>3403</t>
  </si>
  <si>
    <t xml:space="preserve"> -  міська програма  "Фонд міської ради на виконання депутатських повноважень" на 2017 рік </t>
  </si>
  <si>
    <t>4017810</t>
  </si>
  <si>
    <t xml:space="preserve"> - міська програма "Цільова  програма  захисту  населення і територій від надзвичайних ситуацій техногенного та природного характеру на 2014-2017 роки"</t>
  </si>
  <si>
    <t>Видатки на запобігання та ліквідацію надзвичайних ситуацій та наслідків стихійного лиха - всього, в тому числі:</t>
  </si>
  <si>
    <t xml:space="preserve">Затверджено на рік з урахуванням змін </t>
  </si>
  <si>
    <t>Виконано за звітний період</t>
  </si>
  <si>
    <t>% виконання</t>
  </si>
  <si>
    <t xml:space="preserve">Разом </t>
  </si>
  <si>
    <t>Додаток №2</t>
  </si>
  <si>
    <t xml:space="preserve">В тому числі видатки за рахунок субвенцій з державного та обласного бюджетів,                                                                                                </t>
  </si>
  <si>
    <t>Разом</t>
  </si>
  <si>
    <t>в т.ч.бюджет розвитку</t>
  </si>
  <si>
    <t>6022</t>
  </si>
  <si>
    <t>Відхилення                (+,-)</t>
  </si>
  <si>
    <t xml:space="preserve">                           </t>
  </si>
  <si>
    <t xml:space="preserve"> -  субвенції з державного бюджету місцевим бюджетам на надання державної підтримки особам з особливими освітніми потребами</t>
  </si>
  <si>
    <t>1512010</t>
  </si>
  <si>
    <t>2010</t>
  </si>
  <si>
    <t>0731</t>
  </si>
  <si>
    <t xml:space="preserve"> - залишку коштів медичної субвенції з державного бюджету станом на 01.01.2017</t>
  </si>
  <si>
    <t>Забезпечення централізованих заходів з лікування хворих на цукровий та нецукровий діабет - всього, в тому числі:</t>
  </si>
  <si>
    <t xml:space="preserve"> - міська Цільова програма "Цукровий діабет" на 2017-2020 р.р.</t>
  </si>
  <si>
    <t xml:space="preserve"> - субвенція з з обласного бюджету за рахунок коштів медичної субвенції з державного бюджету місцевим бюджетам</t>
  </si>
  <si>
    <t>1512225</t>
  </si>
  <si>
    <t>2225</t>
  </si>
  <si>
    <t xml:space="preserve"> - субвенція з державного бюджету місцевим бюджетам на відшкодування вартості лікарських засобів для лікування окремих захворювань </t>
  </si>
  <si>
    <t>1513130</t>
  </si>
  <si>
    <t>1513131</t>
  </si>
  <si>
    <t>1513132</t>
  </si>
  <si>
    <t>Палаци і будинки культури, клуби та інші заклади клубного типу - всього, в тому числі:</t>
  </si>
  <si>
    <t xml:space="preserve"> - палаци і будинки культури, клуби та інші заклади клубного типу</t>
  </si>
  <si>
    <t>2414203</t>
  </si>
  <si>
    <t>4203</t>
  </si>
  <si>
    <t xml:space="preserve"> -  інші культурно-освітні заклади та заходи (міська програма  "Фонд міської ради на виконання депутатських повноважень" на 2017 рік )</t>
  </si>
  <si>
    <t>6150</t>
  </si>
  <si>
    <t>0640</t>
  </si>
  <si>
    <t>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 (субвенція з державного бюджету)</t>
  </si>
  <si>
    <t>8420</t>
  </si>
  <si>
    <t>Виконання бюджету міста Южноукраїнська за видатками за 9 місяців 2017 року</t>
  </si>
  <si>
    <t xml:space="preserve"> - субвенція з обласного бюджету місцевим бюджетам на виконання депутатами обласної ради доручень виборців  відповідно до програм, затверджених обласною радою на 2017 рік</t>
  </si>
  <si>
    <t xml:space="preserve"> -  субвенції з обласного бюджету місцевим бюджетам на виконання депутатами обласної ради доручень виборців  відповідно до програм, затверджених обласною радою на 2017 рік</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</si>
  <si>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</si>
  <si>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r>
      <t xml:space="preserve">Департамент інфраструктури міського господарства Южноукраїнської міської ради </t>
    </r>
    <r>
      <rPr>
        <i/>
        <sz val="14"/>
        <rFont val="Times New Roman"/>
        <family val="1"/>
      </rPr>
      <t>(головний розпорядник)</t>
    </r>
  </si>
  <si>
    <r>
      <t xml:space="preserve">Департамент інфраструктури міського господарства Южноукраїнської міської ради </t>
    </r>
    <r>
      <rPr>
        <i/>
        <sz val="14"/>
        <rFont val="Times New Roman"/>
        <family val="1"/>
      </rPr>
      <t xml:space="preserve">(відповідальний виконавець) </t>
    </r>
  </si>
  <si>
    <r>
      <t xml:space="preserve">Департамент соціальних питань та охорони здоров'я Южноукраїнської міської ради </t>
    </r>
    <r>
      <rPr>
        <i/>
        <sz val="14"/>
        <rFont val="Times New Roman"/>
        <family val="1"/>
      </rPr>
      <t>(головний розпорядник)</t>
    </r>
  </si>
  <si>
    <r>
      <t>Департамент соціальних питань та охорони здоров'я Южноукраїнської міської ради</t>
    </r>
    <r>
      <rPr>
        <i/>
        <sz val="14"/>
        <rFont val="Times New Roman"/>
        <family val="1"/>
      </rPr>
      <t xml:space="preserve"> (відповідальний виконавець) </t>
    </r>
  </si>
  <si>
    <t>Забезпечення діяльності місцевих центрів фізичного здоров’я населення "Спорт для всіх" та проведення фізкультурно - масових заходів серед населення регіону (програма розвитку культури, фізичної культури, спорту та туризму в м.Южноукраїнську на 2014-2018 роки )</t>
  </si>
  <si>
    <t>Проведення навчально - тренувальних зборів і змагань з не олімпійських видів спорту (програма розвитку культури, фізичної культури, спорту та туризму в м.Южноукраїнську на 2014-2018 роки)</t>
  </si>
  <si>
    <t>Цільові фонди, утворені Верховною Радою Автономної Республики Крим, органами місцевого самоврядування і місцевими органами виконавчої влади (цільовий фонд Южноукраїнської міської ради для вирішення питань розвитку  інфраструктури міста)</t>
  </si>
  <si>
    <t xml:space="preserve"> - міська програма боротьби з онкологічними захворюваннями в м.Южноукраїнську на період до 2017-2020 року</t>
  </si>
  <si>
    <t>Субвенція з місцевого бюджету державному бюджету на виконання програм соціально-економічного та культурного розвитку регіонів (міська програма  "Фонд міської ради на виконання депутатських повноважень" на 2017 рік )</t>
  </si>
  <si>
    <t xml:space="preserve"> -  міська програма  "Фонд міської ради на виконання депутатських повноважень" на 2017 рік</t>
  </si>
  <si>
    <t xml:space="preserve"> -  утримання та навчально-тренувальна робота комунальних дитячо-юнацьких спортивних шкіл</t>
  </si>
  <si>
    <t xml:space="preserve"> - за рахунок субвенції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t>
  </si>
  <si>
    <t xml:space="preserve">Надання допомоги на догляд за інвалідом І чи ІІ групи внаслідок психічного розляду (субвенція з державного бюджету) </t>
  </si>
  <si>
    <t xml:space="preserve"> від____________2017_№_____</t>
  </si>
  <si>
    <t>до рішення Южноукраїнської міської ради</t>
  </si>
  <si>
    <t>Начальник фінансового управління                                            Южноукраїнської міської ради</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</si>
</sst>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 numFmtId="193" formatCode="0.000"/>
    <numFmt numFmtId="194" formatCode="0.0000"/>
    <numFmt numFmtId="195" formatCode="0.00000"/>
    <numFmt numFmtId="196" formatCode="#,##0.0"/>
    <numFmt numFmtId="197" formatCode="#,##0.000"/>
    <numFmt numFmtId="198" formatCode="#,##0.00000"/>
    <numFmt numFmtId="199" formatCode="#,##0.0000"/>
    <numFmt numFmtId="200" formatCode="#,##0.000000"/>
    <numFmt numFmtId="201" formatCode="0_)"/>
    <numFmt numFmtId="202" formatCode="#,##0.0000000"/>
    <numFmt numFmtId="203" formatCode="#,##0.00000000"/>
    <numFmt numFmtId="204" formatCode="#,##0.000000000"/>
    <numFmt numFmtId="205" formatCode="#,##0.0000000000"/>
    <numFmt numFmtId="206" formatCode="#,##0.00000000000"/>
    <numFmt numFmtId="207" formatCode="#,##0.000000000000"/>
  </numFmts>
  <fonts count="74">
    <font>
      <sz val="10"/>
      <name val="Arial Cyr"/>
      <family val="0"/>
    </font>
    <font>
      <u val="single"/>
      <sz val="10"/>
      <color indexed="12"/>
      <name val="Arial Cyr"/>
      <family val="0"/>
    </font>
    <font>
      <u val="single"/>
      <sz val="10"/>
      <color indexed="36"/>
      <name val="Arial Cyr"/>
      <family val="0"/>
    </font>
    <font>
      <sz val="14"/>
      <name val="Times New Roman"/>
      <family val="1"/>
    </font>
    <font>
      <sz val="16"/>
      <name val="Times New Roman"/>
      <family val="1"/>
    </font>
    <font>
      <sz val="20"/>
      <name val="Times New Roman"/>
      <family val="1"/>
    </font>
    <font>
      <sz val="10"/>
      <name val="Times New Roman"/>
      <family val="1"/>
    </font>
    <font>
      <sz val="12"/>
      <name val="Times New Roman"/>
      <family val="1"/>
    </font>
    <font>
      <sz val="14"/>
      <color indexed="8"/>
      <name val="Times New Roman"/>
      <family val="1"/>
    </font>
    <font>
      <i/>
      <sz val="12"/>
      <name val="Times New Roman"/>
      <family val="1"/>
    </font>
    <font>
      <sz val="8"/>
      <name val="Arial Cyr"/>
      <family val="0"/>
    </font>
    <font>
      <sz val="14"/>
      <name val="Arial Cyr"/>
      <family val="0"/>
    </font>
    <font>
      <i/>
      <sz val="14"/>
      <name val="Times New Roman"/>
      <family val="1"/>
    </font>
    <font>
      <b/>
      <sz val="14"/>
      <name val="Times New Roman"/>
      <family val="1"/>
    </font>
    <font>
      <i/>
      <sz val="10"/>
      <name val="Arial Cyr"/>
      <family val="0"/>
    </font>
    <font>
      <i/>
      <sz val="14"/>
      <name val="Arial Cyr"/>
      <family val="0"/>
    </font>
    <font>
      <i/>
      <sz val="14"/>
      <color indexed="8"/>
      <name val="Times New Roman"/>
      <family val="1"/>
    </font>
    <font>
      <b/>
      <sz val="12"/>
      <name val="Times New Roman"/>
      <family val="1"/>
    </font>
    <font>
      <b/>
      <sz val="15"/>
      <color indexed="62"/>
      <name val="Calibri"/>
      <family val="2"/>
    </font>
    <font>
      <b/>
      <sz val="11"/>
      <color indexed="62"/>
      <name val="Calibri"/>
      <family val="2"/>
    </font>
    <font>
      <b/>
      <sz val="18"/>
      <color indexed="62"/>
      <name val="Cambria"/>
      <family val="2"/>
    </font>
    <font>
      <b/>
      <i/>
      <sz val="14"/>
      <name val="Times New Roman"/>
      <family val="1"/>
    </font>
    <font>
      <b/>
      <sz val="12.5"/>
      <name val="Times New Roman"/>
      <family val="1"/>
    </font>
    <font>
      <i/>
      <sz val="12"/>
      <color indexed="8"/>
      <name val="Times New Roman"/>
      <family val="1"/>
    </font>
    <font>
      <i/>
      <sz val="14"/>
      <color indexed="10"/>
      <name val="Times New Roman"/>
      <family val="1"/>
    </font>
    <font>
      <b/>
      <sz val="16"/>
      <name val="Times New Roman"/>
      <family val="1"/>
    </font>
    <font>
      <i/>
      <sz val="10"/>
      <name val="Times New Roman"/>
      <family val="1"/>
    </font>
    <font>
      <sz val="18"/>
      <name val="Times New Roman"/>
      <family val="1"/>
    </font>
    <font>
      <sz val="18"/>
      <name val="Arial Cyr"/>
      <family val="0"/>
    </font>
    <font>
      <b/>
      <sz val="10"/>
      <name val="Arial Cyr"/>
      <family val="0"/>
    </font>
    <font>
      <b/>
      <sz val="14"/>
      <name val="Arial Cyr"/>
      <family val="0"/>
    </font>
    <font>
      <sz val="16"/>
      <color indexed="8"/>
      <name val="Times New Roman"/>
      <family val="1"/>
    </font>
    <font>
      <sz val="16"/>
      <name val="Arial Cyr"/>
      <family val="2"/>
    </font>
    <font>
      <i/>
      <sz val="16"/>
      <name val="Times New Roman"/>
      <family val="1"/>
    </font>
    <font>
      <i/>
      <sz val="16"/>
      <name val="Arial Cyr"/>
      <family val="2"/>
    </font>
    <font>
      <i/>
      <sz val="16"/>
      <color indexed="8"/>
      <name val="Times New Roman"/>
      <family val="1"/>
    </font>
    <font>
      <sz val="16"/>
      <color indexed="10"/>
      <name val="Times New Roman"/>
      <family val="1"/>
    </font>
    <font>
      <b/>
      <sz val="16"/>
      <color indexed="8"/>
      <name val="Times New Roman"/>
      <family val="1"/>
    </font>
    <font>
      <sz val="11"/>
      <name val="Times New Roman"/>
      <family val="1"/>
    </font>
    <font>
      <sz val="2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62"/>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6"/>
      <color indexed="9"/>
      <name val="Times New Roman"/>
      <family val="1"/>
    </font>
    <font>
      <i/>
      <sz val="16"/>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
      <sz val="16"/>
      <color theme="0"/>
      <name val="Times New Roman"/>
      <family val="1"/>
    </font>
    <font>
      <i/>
      <sz val="16"/>
      <color theme="0"/>
      <name val="Times New Roman"/>
      <family val="1"/>
    </font>
    <font>
      <sz val="16"/>
      <color theme="1"/>
      <name val="Times New Roman"/>
      <family val="1"/>
    </font>
    <font>
      <i/>
      <sz val="16"/>
      <color theme="1"/>
      <name val="Times New Roman"/>
      <family val="1"/>
    </font>
  </fonts>
  <fills count="3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rgb="FFFFFF00"/>
        <bgColor indexed="64"/>
      </patternFill>
    </fill>
    <fill>
      <patternFill patternType="solid">
        <fgColor theme="7" tint="0.5999900102615356"/>
        <bgColor indexed="64"/>
      </patternFill>
    </fill>
    <fill>
      <patternFill patternType="solid">
        <fgColor theme="3" tint="0.5999900102615356"/>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medium"/>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2"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7" borderId="0" applyNumberFormat="0" applyBorder="0" applyAlignment="0" applyProtection="0"/>
    <xf numFmtId="0" fontId="56" fillId="10" borderId="0" applyNumberFormat="0" applyBorder="0" applyAlignment="0" applyProtection="0"/>
    <xf numFmtId="0" fontId="56" fillId="3"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9" borderId="0" applyNumberFormat="0" applyBorder="0" applyAlignment="0" applyProtection="0"/>
    <xf numFmtId="0" fontId="57" fillId="7" borderId="0" applyNumberFormat="0" applyBorder="0" applyAlignment="0" applyProtection="0"/>
    <xf numFmtId="0" fontId="57" fillId="13" borderId="0" applyNumberFormat="0" applyBorder="0" applyAlignment="0" applyProtection="0"/>
    <xf numFmtId="0" fontId="57" fillId="3" borderId="0" applyNumberFormat="0" applyBorder="0" applyAlignment="0" applyProtection="0"/>
    <xf numFmtId="0" fontId="57" fillId="11"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8" fillId="19" borderId="1" applyNumberFormat="0" applyAlignment="0" applyProtection="0"/>
    <xf numFmtId="0" fontId="59" fillId="2" borderId="2" applyNumberFormat="0" applyAlignment="0" applyProtection="0"/>
    <xf numFmtId="0" fontId="60" fillId="2"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3" applyNumberFormat="0" applyFill="0" applyAlignment="0" applyProtection="0"/>
    <xf numFmtId="0" fontId="45"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61" fillId="0" borderId="6" applyNumberFormat="0" applyFill="0" applyAlignment="0" applyProtection="0"/>
    <xf numFmtId="0" fontId="62" fillId="20" borderId="7" applyNumberFormat="0" applyAlignment="0" applyProtection="0"/>
    <xf numFmtId="0" fontId="20" fillId="0" borderId="0" applyNumberFormat="0" applyFill="0" applyBorder="0" applyAlignment="0" applyProtection="0"/>
    <xf numFmtId="0" fontId="63" fillId="21" borderId="0" applyNumberFormat="0" applyBorder="0" applyAlignment="0" applyProtection="0"/>
    <xf numFmtId="0" fontId="2" fillId="0" borderId="0" applyNumberFormat="0" applyFill="0" applyBorder="0" applyAlignment="0" applyProtection="0"/>
    <xf numFmtId="0" fontId="64" fillId="22" borderId="0" applyNumberFormat="0" applyBorder="0" applyAlignment="0" applyProtection="0"/>
    <xf numFmtId="0" fontId="6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8" fillId="24" borderId="0" applyNumberFormat="0" applyBorder="0" applyAlignment="0" applyProtection="0"/>
  </cellStyleXfs>
  <cellXfs count="245">
    <xf numFmtId="0" fontId="0" fillId="0" borderId="0" xfId="0" applyAlignment="1">
      <alignment/>
    </xf>
    <xf numFmtId="0" fontId="3" fillId="0" borderId="0" xfId="0" applyFont="1" applyFill="1" applyAlignment="1">
      <alignment wrapText="1"/>
    </xf>
    <xf numFmtId="0" fontId="3" fillId="0" borderId="0" xfId="0" applyFont="1" applyFill="1" applyAlignment="1">
      <alignment/>
    </xf>
    <xf numFmtId="188" fontId="3" fillId="0" borderId="0" xfId="0" applyNumberFormat="1" applyFont="1" applyFill="1" applyBorder="1" applyAlignment="1">
      <alignment wrapText="1"/>
    </xf>
    <xf numFmtId="188" fontId="3" fillId="0" borderId="0" xfId="0" applyNumberFormat="1" applyFont="1" applyFill="1" applyAlignment="1">
      <alignment wrapText="1"/>
    </xf>
    <xf numFmtId="49" fontId="3" fillId="0" borderId="0" xfId="0" applyNumberFormat="1" applyFont="1" applyFill="1" applyBorder="1" applyAlignment="1">
      <alignment horizontal="center" wrapText="1"/>
    </xf>
    <xf numFmtId="193" fontId="3" fillId="0" borderId="0" xfId="0" applyNumberFormat="1" applyFont="1" applyFill="1" applyAlignment="1">
      <alignment wrapText="1"/>
    </xf>
    <xf numFmtId="0" fontId="3" fillId="0" borderId="0" xfId="0" applyFont="1" applyFill="1" applyBorder="1" applyAlignment="1">
      <alignment/>
    </xf>
    <xf numFmtId="0" fontId="5" fillId="0" borderId="0" xfId="0" applyFont="1" applyFill="1" applyAlignment="1">
      <alignment wrapText="1"/>
    </xf>
    <xf numFmtId="0" fontId="5" fillId="0" borderId="0" xfId="0" applyFont="1" applyFill="1" applyAlignment="1">
      <alignment/>
    </xf>
    <xf numFmtId="0" fontId="6" fillId="0" borderId="0" xfId="0" applyFont="1" applyFill="1" applyAlignment="1">
      <alignment/>
    </xf>
    <xf numFmtId="0" fontId="0" fillId="0" borderId="0" xfId="0" applyFont="1" applyFill="1" applyAlignment="1">
      <alignment/>
    </xf>
    <xf numFmtId="198" fontId="3" fillId="0" borderId="0" xfId="0" applyNumberFormat="1" applyFont="1" applyFill="1" applyAlignment="1">
      <alignment wrapText="1"/>
    </xf>
    <xf numFmtId="198" fontId="7" fillId="0" borderId="0" xfId="0" applyNumberFormat="1" applyFont="1" applyFill="1" applyBorder="1" applyAlignment="1">
      <alignment wrapText="1"/>
    </xf>
    <xf numFmtId="198" fontId="3" fillId="0" borderId="0" xfId="0" applyNumberFormat="1" applyFont="1" applyFill="1" applyBorder="1" applyAlignment="1">
      <alignment wrapText="1"/>
    </xf>
    <xf numFmtId="198" fontId="3" fillId="0" borderId="0" xfId="0" applyNumberFormat="1" applyFont="1" applyFill="1" applyAlignment="1">
      <alignment/>
    </xf>
    <xf numFmtId="197" fontId="7" fillId="0" borderId="0" xfId="0" applyNumberFormat="1" applyFont="1" applyFill="1" applyBorder="1" applyAlignment="1">
      <alignment wrapText="1"/>
    </xf>
    <xf numFmtId="0" fontId="0" fillId="0" borderId="0" xfId="0" applyFont="1" applyFill="1" applyAlignment="1">
      <alignment wrapText="1"/>
    </xf>
    <xf numFmtId="0" fontId="7" fillId="0" borderId="0" xfId="0" applyFont="1" applyFill="1" applyBorder="1" applyAlignment="1">
      <alignment/>
    </xf>
    <xf numFmtId="0" fontId="9" fillId="0" borderId="0" xfId="0" applyFont="1" applyFill="1" applyBorder="1" applyAlignment="1">
      <alignment/>
    </xf>
    <xf numFmtId="198" fontId="0" fillId="0" borderId="0" xfId="0" applyNumberFormat="1" applyFont="1" applyFill="1" applyBorder="1" applyAlignment="1">
      <alignment/>
    </xf>
    <xf numFmtId="0" fontId="4" fillId="0" borderId="0" xfId="0" applyFont="1" applyFill="1" applyBorder="1" applyAlignment="1">
      <alignment/>
    </xf>
    <xf numFmtId="198" fontId="3" fillId="0" borderId="0" xfId="0" applyNumberFormat="1" applyFont="1" applyFill="1" applyBorder="1" applyAlignment="1">
      <alignment/>
    </xf>
    <xf numFmtId="188" fontId="0" fillId="0" borderId="0" xfId="0" applyNumberFormat="1" applyFont="1" applyFill="1" applyBorder="1" applyAlignment="1">
      <alignment wrapText="1"/>
    </xf>
    <xf numFmtId="188" fontId="0" fillId="0" borderId="0" xfId="0" applyNumberFormat="1" applyFont="1" applyFill="1" applyAlignment="1">
      <alignment wrapText="1"/>
    </xf>
    <xf numFmtId="193" fontId="0" fillId="0" borderId="0" xfId="0" applyNumberFormat="1" applyFont="1" applyFill="1" applyAlignment="1">
      <alignment wrapText="1"/>
    </xf>
    <xf numFmtId="0" fontId="3" fillId="0" borderId="0" xfId="0" applyFont="1" applyFill="1" applyAlignment="1">
      <alignment horizontal="center"/>
    </xf>
    <xf numFmtId="0" fontId="3" fillId="0" borderId="0" xfId="0" applyFont="1" applyFill="1" applyBorder="1" applyAlignment="1">
      <alignment horizontal="center"/>
    </xf>
    <xf numFmtId="0" fontId="11" fillId="0" borderId="0" xfId="0" applyFont="1" applyFill="1" applyAlignment="1">
      <alignment horizontal="center"/>
    </xf>
    <xf numFmtId="0" fontId="3" fillId="0" borderId="0" xfId="0" applyFont="1" applyFill="1" applyAlignment="1">
      <alignment horizontal="left" wrapText="1"/>
    </xf>
    <xf numFmtId="49" fontId="13" fillId="0" borderId="0" xfId="0" applyNumberFormat="1" applyFont="1" applyFill="1" applyBorder="1" applyAlignment="1">
      <alignment horizontal="center"/>
    </xf>
    <xf numFmtId="0" fontId="13" fillId="0" borderId="0" xfId="0" applyFont="1" applyFill="1" applyBorder="1" applyAlignment="1">
      <alignment horizontal="left" wrapText="1"/>
    </xf>
    <xf numFmtId="49" fontId="3" fillId="0" borderId="0" xfId="0" applyNumberFormat="1" applyFont="1" applyFill="1" applyBorder="1" applyAlignment="1">
      <alignment horizontal="center"/>
    </xf>
    <xf numFmtId="0" fontId="3" fillId="0" borderId="0" xfId="0" applyFont="1" applyFill="1" applyBorder="1" applyAlignment="1">
      <alignment horizontal="left" wrapText="1"/>
    </xf>
    <xf numFmtId="198" fontId="8" fillId="0" borderId="0" xfId="0" applyNumberFormat="1" applyFont="1" applyFill="1" applyBorder="1" applyAlignment="1" applyProtection="1">
      <alignment/>
      <protection locked="0"/>
    </xf>
    <xf numFmtId="49" fontId="12" fillId="0" borderId="0" xfId="0" applyNumberFormat="1" applyFont="1" applyFill="1" applyBorder="1" applyAlignment="1">
      <alignment horizontal="center"/>
    </xf>
    <xf numFmtId="49" fontId="12" fillId="0" borderId="0" xfId="0" applyNumberFormat="1" applyFont="1" applyFill="1" applyBorder="1" applyAlignment="1">
      <alignment horizontal="center" wrapText="1"/>
    </xf>
    <xf numFmtId="0" fontId="12" fillId="0" borderId="0" xfId="0" applyFont="1" applyFill="1" applyBorder="1" applyAlignment="1">
      <alignment wrapText="1"/>
    </xf>
    <xf numFmtId="198" fontId="12" fillId="0" borderId="0" xfId="0" applyNumberFormat="1" applyFont="1" applyFill="1" applyBorder="1" applyAlignment="1">
      <alignment wrapText="1"/>
    </xf>
    <xf numFmtId="0" fontId="12" fillId="0" borderId="0" xfId="0" applyFont="1" applyFill="1" applyBorder="1" applyAlignment="1">
      <alignment/>
    </xf>
    <xf numFmtId="0" fontId="3" fillId="0" borderId="0" xfId="0" applyFont="1" applyFill="1" applyBorder="1" applyAlignment="1">
      <alignment vertical="center" wrapText="1"/>
    </xf>
    <xf numFmtId="1" fontId="3" fillId="0" borderId="0" xfId="0" applyNumberFormat="1" applyFont="1" applyFill="1" applyBorder="1" applyAlignment="1">
      <alignment wrapText="1"/>
    </xf>
    <xf numFmtId="1" fontId="3" fillId="0" borderId="0" xfId="0" applyNumberFormat="1" applyFont="1" applyFill="1" applyBorder="1" applyAlignment="1">
      <alignment horizontal="left" wrapText="1"/>
    </xf>
    <xf numFmtId="0" fontId="3" fillId="0" borderId="0" xfId="0" applyFont="1" applyFill="1" applyBorder="1" applyAlignment="1">
      <alignment wrapText="1"/>
    </xf>
    <xf numFmtId="49" fontId="12" fillId="0" borderId="0" xfId="0" applyNumberFormat="1" applyFont="1" applyFill="1" applyBorder="1" applyAlignment="1">
      <alignment/>
    </xf>
    <xf numFmtId="0" fontId="12" fillId="0" borderId="0" xfId="0" applyFont="1" applyFill="1" applyBorder="1" applyAlignment="1">
      <alignment horizontal="left" wrapText="1"/>
    </xf>
    <xf numFmtId="0" fontId="14" fillId="0" borderId="0" xfId="0" applyFont="1" applyFill="1" applyBorder="1" applyAlignment="1">
      <alignment/>
    </xf>
    <xf numFmtId="49" fontId="15" fillId="0" borderId="0" xfId="0" applyNumberFormat="1" applyFont="1" applyFill="1" applyBorder="1" applyAlignment="1">
      <alignment horizontal="center"/>
    </xf>
    <xf numFmtId="0" fontId="13" fillId="0" borderId="0" xfId="0" applyFont="1" applyFill="1" applyBorder="1" applyAlignment="1">
      <alignment wrapText="1"/>
    </xf>
    <xf numFmtId="198" fontId="9" fillId="0" borderId="0" xfId="0" applyNumberFormat="1" applyFont="1" applyFill="1" applyBorder="1" applyAlignment="1">
      <alignment wrapText="1"/>
    </xf>
    <xf numFmtId="0" fontId="13" fillId="0" borderId="0" xfId="0" applyFont="1" applyFill="1" applyBorder="1" applyAlignment="1">
      <alignment/>
    </xf>
    <xf numFmtId="197" fontId="12" fillId="0" borderId="0" xfId="0" applyNumberFormat="1" applyFont="1" applyFill="1" applyBorder="1" applyAlignment="1">
      <alignment/>
    </xf>
    <xf numFmtId="1" fontId="12" fillId="0" borderId="0" xfId="0" applyNumberFormat="1" applyFont="1" applyFill="1" applyBorder="1" applyAlignment="1">
      <alignment horizontal="left" wrapText="1"/>
    </xf>
    <xf numFmtId="198" fontId="13" fillId="0" borderId="0" xfId="0" applyNumberFormat="1" applyFont="1" applyFill="1" applyBorder="1" applyAlignment="1">
      <alignment/>
    </xf>
    <xf numFmtId="198" fontId="12" fillId="0" borderId="0" xfId="0" applyNumberFormat="1" applyFont="1" applyFill="1" applyBorder="1" applyAlignment="1">
      <alignment/>
    </xf>
    <xf numFmtId="1" fontId="12" fillId="0" borderId="0" xfId="0" applyNumberFormat="1" applyFont="1" applyFill="1" applyBorder="1" applyAlignment="1">
      <alignment wrapText="1"/>
    </xf>
    <xf numFmtId="198" fontId="16" fillId="0" borderId="0" xfId="0" applyNumberFormat="1" applyFont="1" applyFill="1" applyBorder="1" applyAlignment="1" applyProtection="1">
      <alignment/>
      <protection locked="0"/>
    </xf>
    <xf numFmtId="198" fontId="4" fillId="0" borderId="0" xfId="0" applyNumberFormat="1" applyFont="1" applyFill="1" applyAlignment="1">
      <alignment wrapText="1"/>
    </xf>
    <xf numFmtId="0" fontId="4" fillId="0" borderId="0" xfId="0" applyFont="1" applyFill="1" applyAlignment="1">
      <alignment wrapText="1"/>
    </xf>
    <xf numFmtId="49" fontId="3" fillId="0" borderId="0" xfId="0" applyNumberFormat="1" applyFont="1" applyFill="1" applyAlignment="1">
      <alignment horizontal="center"/>
    </xf>
    <xf numFmtId="0" fontId="8" fillId="0" borderId="0" xfId="0" applyFont="1" applyFill="1" applyBorder="1" applyAlignment="1">
      <alignment wrapText="1"/>
    </xf>
    <xf numFmtId="49" fontId="3" fillId="0" borderId="0" xfId="0" applyNumberFormat="1" applyFont="1" applyFill="1" applyAlignment="1">
      <alignment horizontal="center" vertical="top"/>
    </xf>
    <xf numFmtId="0" fontId="3" fillId="0" borderId="0" xfId="0" applyFont="1" applyFill="1" applyAlignment="1">
      <alignment horizontal="justify" wrapText="1"/>
    </xf>
    <xf numFmtId="198" fontId="13" fillId="0" borderId="0" xfId="0" applyNumberFormat="1" applyFont="1" applyFill="1" applyBorder="1" applyAlignment="1">
      <alignment wrapText="1"/>
    </xf>
    <xf numFmtId="1" fontId="13" fillId="0" borderId="0" xfId="0" applyNumberFormat="1" applyFont="1" applyFill="1" applyBorder="1" applyAlignment="1">
      <alignment horizontal="left" wrapText="1"/>
    </xf>
    <xf numFmtId="49" fontId="9" fillId="0" borderId="0" xfId="0" applyNumberFormat="1" applyFont="1" applyFill="1" applyBorder="1" applyAlignment="1">
      <alignment horizontal="center"/>
    </xf>
    <xf numFmtId="0" fontId="9" fillId="0" borderId="0" xfId="0" applyFont="1" applyFill="1" applyBorder="1" applyAlignment="1">
      <alignment horizontal="left" wrapText="1"/>
    </xf>
    <xf numFmtId="188" fontId="9" fillId="0" borderId="0" xfId="0" applyNumberFormat="1" applyFont="1" applyFill="1" applyBorder="1" applyAlignment="1">
      <alignment wrapText="1"/>
    </xf>
    <xf numFmtId="0" fontId="0" fillId="0" borderId="0" xfId="0" applyFont="1" applyFill="1" applyBorder="1" applyAlignment="1">
      <alignment/>
    </xf>
    <xf numFmtId="198" fontId="7" fillId="0" borderId="0" xfId="0" applyNumberFormat="1" applyFont="1" applyFill="1" applyBorder="1" applyAlignment="1">
      <alignment/>
    </xf>
    <xf numFmtId="198" fontId="6" fillId="0" borderId="0" xfId="0" applyNumberFormat="1" applyFont="1" applyFill="1" applyBorder="1" applyAlignment="1">
      <alignment/>
    </xf>
    <xf numFmtId="0" fontId="6" fillId="0" borderId="0" xfId="0" applyFont="1" applyFill="1" applyBorder="1" applyAlignment="1">
      <alignment/>
    </xf>
    <xf numFmtId="198" fontId="13" fillId="0" borderId="0" xfId="0" applyNumberFormat="1" applyFont="1" applyFill="1" applyBorder="1" applyAlignment="1">
      <alignment horizontal="center" wrapText="1"/>
    </xf>
    <xf numFmtId="0" fontId="17" fillId="0" borderId="0" xfId="0" applyFont="1" applyFill="1" applyBorder="1" applyAlignment="1">
      <alignment/>
    </xf>
    <xf numFmtId="1" fontId="13" fillId="0" borderId="0" xfId="0" applyNumberFormat="1" applyFont="1" applyFill="1" applyBorder="1" applyAlignment="1">
      <alignment wrapText="1"/>
    </xf>
    <xf numFmtId="198" fontId="17" fillId="0" borderId="0" xfId="0" applyNumberFormat="1" applyFont="1" applyFill="1" applyBorder="1" applyAlignment="1">
      <alignment/>
    </xf>
    <xf numFmtId="49" fontId="12" fillId="0" borderId="0" xfId="0" applyNumberFormat="1" applyFont="1" applyFill="1" applyAlignment="1">
      <alignment horizontal="center"/>
    </xf>
    <xf numFmtId="0" fontId="9" fillId="0" borderId="0" xfId="0" applyFont="1" applyFill="1" applyAlignment="1">
      <alignment horizontal="left" wrapText="1"/>
    </xf>
    <xf numFmtId="0" fontId="11" fillId="0" borderId="0" xfId="0" applyFont="1" applyFill="1" applyBorder="1" applyAlignment="1">
      <alignment/>
    </xf>
    <xf numFmtId="198" fontId="4" fillId="0" borderId="0" xfId="0" applyNumberFormat="1" applyFont="1" applyFill="1" applyBorder="1" applyAlignment="1">
      <alignment horizontal="left" wrapText="1"/>
    </xf>
    <xf numFmtId="198" fontId="3" fillId="0" borderId="0" xfId="0" applyNumberFormat="1" applyFont="1" applyFill="1" applyAlignment="1">
      <alignment horizontal="left" wrapText="1"/>
    </xf>
    <xf numFmtId="188" fontId="3" fillId="0" borderId="0" xfId="0" applyNumberFormat="1" applyFont="1" applyFill="1" applyBorder="1" applyAlignment="1">
      <alignment horizontal="left" wrapText="1"/>
    </xf>
    <xf numFmtId="188" fontId="3" fillId="0" borderId="0" xfId="0" applyNumberFormat="1" applyFont="1" applyFill="1" applyAlignment="1">
      <alignment horizontal="left" wrapText="1"/>
    </xf>
    <xf numFmtId="49" fontId="8" fillId="0" borderId="0" xfId="0" applyNumberFormat="1" applyFont="1" applyFill="1" applyBorder="1" applyAlignment="1">
      <alignment horizontal="center"/>
    </xf>
    <xf numFmtId="0" fontId="8" fillId="0" borderId="0" xfId="0" applyFont="1" applyFill="1" applyBorder="1" applyAlignment="1">
      <alignment horizontal="left" wrapText="1"/>
    </xf>
    <xf numFmtId="0" fontId="13" fillId="25" borderId="0" xfId="0" applyFont="1" applyFill="1" applyBorder="1" applyAlignment="1">
      <alignment horizontal="left" wrapText="1"/>
    </xf>
    <xf numFmtId="0" fontId="13" fillId="25" borderId="0" xfId="0" applyFont="1" applyFill="1" applyBorder="1" applyAlignment="1">
      <alignment wrapText="1"/>
    </xf>
    <xf numFmtId="0" fontId="3" fillId="0" borderId="10" xfId="0" applyFont="1" applyFill="1" applyBorder="1" applyAlignment="1">
      <alignment/>
    </xf>
    <xf numFmtId="0" fontId="12" fillId="0" borderId="10" xfId="0" applyFont="1" applyFill="1" applyBorder="1" applyAlignment="1">
      <alignment/>
    </xf>
    <xf numFmtId="0" fontId="3" fillId="0" borderId="0" xfId="0" applyFont="1" applyBorder="1" applyAlignment="1">
      <alignment horizontal="left" wrapText="1"/>
    </xf>
    <xf numFmtId="0" fontId="3" fillId="2" borderId="0" xfId="0" applyFont="1" applyFill="1" applyBorder="1" applyAlignment="1">
      <alignment horizontal="left" wrapText="1"/>
    </xf>
    <xf numFmtId="197" fontId="4" fillId="0" borderId="0" xfId="0" applyNumberFormat="1" applyFont="1" applyFill="1" applyAlignment="1">
      <alignment wrapText="1"/>
    </xf>
    <xf numFmtId="0" fontId="12" fillId="0" borderId="0" xfId="0" applyFont="1" applyBorder="1" applyAlignment="1">
      <alignment horizontal="left" wrapText="1"/>
    </xf>
    <xf numFmtId="0" fontId="7" fillId="0" borderId="0" xfId="0" applyFont="1" applyFill="1" applyAlignment="1">
      <alignment horizontal="left" wrapText="1"/>
    </xf>
    <xf numFmtId="0" fontId="21" fillId="0" borderId="0" xfId="0" applyFont="1" applyFill="1" applyBorder="1" applyAlignment="1">
      <alignment/>
    </xf>
    <xf numFmtId="0" fontId="12" fillId="2" borderId="0" xfId="0" applyFont="1" applyFill="1" applyBorder="1" applyAlignment="1">
      <alignment horizontal="left" wrapText="1"/>
    </xf>
    <xf numFmtId="0" fontId="23" fillId="0" borderId="0" xfId="0" applyFont="1" applyFill="1" applyBorder="1" applyAlignment="1">
      <alignment horizontal="left" wrapText="1"/>
    </xf>
    <xf numFmtId="198" fontId="3" fillId="0" borderId="0" xfId="0" applyNumberFormat="1" applyFont="1" applyFill="1" applyAlignment="1">
      <alignment horizontal="right" wrapText="1"/>
    </xf>
    <xf numFmtId="198" fontId="3" fillId="0" borderId="0" xfId="0" applyNumberFormat="1" applyFont="1" applyFill="1" applyAlignment="1">
      <alignment horizontal="right"/>
    </xf>
    <xf numFmtId="198" fontId="17" fillId="0" borderId="0" xfId="0" applyNumberFormat="1" applyFont="1" applyFill="1" applyBorder="1" applyAlignment="1">
      <alignment wrapText="1"/>
    </xf>
    <xf numFmtId="2" fontId="5" fillId="0" borderId="0" xfId="0" applyNumberFormat="1" applyFont="1" applyFill="1" applyAlignment="1">
      <alignment wrapText="1"/>
    </xf>
    <xf numFmtId="2" fontId="3" fillId="0" borderId="0" xfId="0" applyNumberFormat="1" applyFont="1" applyFill="1" applyAlignment="1">
      <alignment wrapText="1"/>
    </xf>
    <xf numFmtId="2" fontId="3" fillId="0" borderId="0" xfId="0" applyNumberFormat="1" applyFont="1" applyFill="1" applyBorder="1" applyAlignment="1">
      <alignment wrapText="1"/>
    </xf>
    <xf numFmtId="2" fontId="17" fillId="0" borderId="0" xfId="0" applyNumberFormat="1" applyFont="1" applyFill="1" applyBorder="1" applyAlignment="1">
      <alignment wrapText="1"/>
    </xf>
    <xf numFmtId="2" fontId="4" fillId="0" borderId="0" xfId="0" applyNumberFormat="1" applyFont="1" applyFill="1" applyAlignment="1">
      <alignment wrapText="1"/>
    </xf>
    <xf numFmtId="0" fontId="25" fillId="0" borderId="0" xfId="0" applyFont="1" applyFill="1" applyBorder="1" applyAlignment="1">
      <alignment horizontal="left" wrapText="1"/>
    </xf>
    <xf numFmtId="198" fontId="26" fillId="0" borderId="0" xfId="0" applyNumberFormat="1" applyFont="1" applyFill="1" applyBorder="1" applyAlignment="1">
      <alignment/>
    </xf>
    <xf numFmtId="0" fontId="26" fillId="0" borderId="0" xfId="0" applyFont="1" applyFill="1" applyBorder="1" applyAlignment="1">
      <alignment/>
    </xf>
    <xf numFmtId="0" fontId="13" fillId="26" borderId="0" xfId="0" applyFont="1" applyFill="1" applyBorder="1" applyAlignment="1">
      <alignment wrapText="1"/>
    </xf>
    <xf numFmtId="0" fontId="27" fillId="0" borderId="0" xfId="0" applyFont="1" applyFill="1" applyAlignment="1">
      <alignment horizontal="center"/>
    </xf>
    <xf numFmtId="0" fontId="27" fillId="0" borderId="0" xfId="0" applyFont="1" applyFill="1" applyAlignment="1">
      <alignment/>
    </xf>
    <xf numFmtId="2" fontId="27" fillId="0" borderId="0" xfId="0" applyNumberFormat="1" applyFont="1" applyFill="1" applyAlignment="1">
      <alignment wrapText="1"/>
    </xf>
    <xf numFmtId="198" fontId="27" fillId="0" borderId="0" xfId="0" applyNumberFormat="1" applyFont="1" applyFill="1" applyAlignment="1">
      <alignment wrapText="1"/>
    </xf>
    <xf numFmtId="198" fontId="28" fillId="0" borderId="0" xfId="0" applyNumberFormat="1" applyFont="1" applyFill="1" applyAlignment="1">
      <alignment wrapText="1"/>
    </xf>
    <xf numFmtId="49" fontId="3" fillId="27" borderId="0" xfId="0" applyNumberFormat="1" applyFont="1" applyFill="1" applyAlignment="1">
      <alignment wrapText="1"/>
    </xf>
    <xf numFmtId="49" fontId="3" fillId="27" borderId="0" xfId="0" applyNumberFormat="1" applyFont="1" applyFill="1" applyBorder="1" applyAlignment="1">
      <alignment horizontal="center" wrapText="1"/>
    </xf>
    <xf numFmtId="49" fontId="3" fillId="27" borderId="0" xfId="0" applyNumberFormat="1" applyFont="1" applyFill="1" applyAlignment="1">
      <alignment horizontal="center" wrapText="1"/>
    </xf>
    <xf numFmtId="49" fontId="3" fillId="27" borderId="0" xfId="0" applyNumberFormat="1" applyFont="1" applyFill="1" applyAlignment="1">
      <alignment horizontal="center" vertical="top" wrapText="1"/>
    </xf>
    <xf numFmtId="49" fontId="12" fillId="27" borderId="0" xfId="0" applyNumberFormat="1" applyFont="1" applyFill="1" applyAlignment="1">
      <alignment horizontal="center" wrapText="1"/>
    </xf>
    <xf numFmtId="49" fontId="12" fillId="27" borderId="0" xfId="0" applyNumberFormat="1" applyFont="1" applyFill="1" applyBorder="1" applyAlignment="1">
      <alignment horizontal="center" wrapText="1"/>
    </xf>
    <xf numFmtId="0" fontId="12" fillId="27" borderId="0" xfId="0" applyFont="1" applyFill="1" applyBorder="1" applyAlignment="1">
      <alignment horizontal="center"/>
    </xf>
    <xf numFmtId="49" fontId="13" fillId="27" borderId="0" xfId="0" applyNumberFormat="1" applyFont="1" applyFill="1" applyBorder="1" applyAlignment="1">
      <alignment horizontal="center" wrapText="1"/>
    </xf>
    <xf numFmtId="49" fontId="9" fillId="27" borderId="0" xfId="0" applyNumberFormat="1" applyFont="1" applyFill="1" applyBorder="1" applyAlignment="1">
      <alignment horizontal="center" wrapText="1"/>
    </xf>
    <xf numFmtId="49" fontId="12" fillId="27" borderId="0" xfId="0" applyNumberFormat="1" applyFont="1" applyFill="1" applyBorder="1" applyAlignment="1">
      <alignment wrapText="1"/>
    </xf>
    <xf numFmtId="0" fontId="3" fillId="27" borderId="0" xfId="0" applyFont="1" applyFill="1" applyAlignment="1">
      <alignment horizontal="left" wrapText="1"/>
    </xf>
    <xf numFmtId="49" fontId="3" fillId="27" borderId="0" xfId="0" applyNumberFormat="1" applyFont="1" applyFill="1" applyBorder="1" applyAlignment="1">
      <alignment horizontal="left"/>
    </xf>
    <xf numFmtId="49" fontId="3" fillId="27" borderId="0" xfId="0" applyNumberFormat="1" applyFont="1" applyFill="1" applyBorder="1" applyAlignment="1">
      <alignment horizontal="left" wrapText="1"/>
    </xf>
    <xf numFmtId="49" fontId="3" fillId="27" borderId="0" xfId="0" applyNumberFormat="1" applyFont="1" applyFill="1" applyAlignment="1">
      <alignment horizontal="left" wrapText="1"/>
    </xf>
    <xf numFmtId="49" fontId="13" fillId="27" borderId="11" xfId="0" applyNumberFormat="1" applyFont="1" applyFill="1" applyBorder="1" applyAlignment="1" applyProtection="1">
      <alignment horizontal="center" vertical="center" wrapText="1"/>
      <protection locked="0"/>
    </xf>
    <xf numFmtId="198" fontId="3" fillId="27" borderId="0" xfId="0" applyNumberFormat="1" applyFont="1" applyFill="1" applyBorder="1" applyAlignment="1">
      <alignment wrapText="1"/>
    </xf>
    <xf numFmtId="198" fontId="8" fillId="27" borderId="0" xfId="0" applyNumberFormat="1" applyFont="1" applyFill="1" applyBorder="1" applyAlignment="1" applyProtection="1">
      <alignment/>
      <protection locked="0"/>
    </xf>
    <xf numFmtId="198" fontId="3" fillId="27" borderId="0" xfId="0" applyNumberFormat="1" applyFont="1" applyFill="1" applyAlignment="1">
      <alignment horizontal="right" wrapText="1"/>
    </xf>
    <xf numFmtId="198" fontId="3" fillId="27" borderId="0" xfId="0" applyNumberFormat="1" applyFont="1" applyFill="1" applyAlignment="1">
      <alignment horizontal="right"/>
    </xf>
    <xf numFmtId="198" fontId="12" fillId="27" borderId="0" xfId="0" applyNumberFormat="1" applyFont="1" applyFill="1" applyBorder="1" applyAlignment="1">
      <alignment wrapText="1"/>
    </xf>
    <xf numFmtId="198" fontId="7" fillId="27" borderId="0" xfId="0" applyNumberFormat="1" applyFont="1" applyFill="1" applyBorder="1" applyAlignment="1">
      <alignment wrapText="1"/>
    </xf>
    <xf numFmtId="198" fontId="9" fillId="27" borderId="0" xfId="0" applyNumberFormat="1" applyFont="1" applyFill="1" applyBorder="1" applyAlignment="1">
      <alignment wrapText="1"/>
    </xf>
    <xf numFmtId="198" fontId="13" fillId="27" borderId="0" xfId="0" applyNumberFormat="1" applyFont="1" applyFill="1" applyBorder="1" applyAlignment="1">
      <alignment wrapText="1"/>
    </xf>
    <xf numFmtId="198" fontId="16" fillId="27" borderId="0" xfId="0" applyNumberFormat="1" applyFont="1" applyFill="1" applyBorder="1" applyAlignment="1" applyProtection="1">
      <alignment/>
      <protection locked="0"/>
    </xf>
    <xf numFmtId="198" fontId="12" fillId="27" borderId="0" xfId="0" applyNumberFormat="1" applyFont="1" applyFill="1" applyBorder="1" applyAlignment="1">
      <alignment horizontal="right" wrapText="1"/>
    </xf>
    <xf numFmtId="198" fontId="14" fillId="27" borderId="0" xfId="0" applyNumberFormat="1" applyFont="1" applyFill="1" applyBorder="1" applyAlignment="1">
      <alignment wrapText="1"/>
    </xf>
    <xf numFmtId="198" fontId="3" fillId="27" borderId="0" xfId="0" applyNumberFormat="1" applyFont="1" applyFill="1" applyBorder="1" applyAlignment="1">
      <alignment horizontal="right" wrapText="1"/>
    </xf>
    <xf numFmtId="198" fontId="3" fillId="27" borderId="0" xfId="0" applyNumberFormat="1" applyFont="1" applyFill="1" applyAlignment="1">
      <alignment wrapText="1"/>
    </xf>
    <xf numFmtId="0" fontId="27" fillId="27" borderId="0" xfId="0" applyFont="1" applyFill="1" applyAlignment="1">
      <alignment horizontal="right"/>
    </xf>
    <xf numFmtId="198" fontId="3" fillId="27" borderId="0" xfId="0" applyNumberFormat="1" applyFont="1" applyFill="1" applyBorder="1" applyAlignment="1">
      <alignment/>
    </xf>
    <xf numFmtId="198" fontId="4" fillId="27" borderId="0" xfId="0" applyNumberFormat="1" applyFont="1" applyFill="1" applyAlignment="1">
      <alignment wrapText="1"/>
    </xf>
    <xf numFmtId="193" fontId="3" fillId="27" borderId="0" xfId="0" applyNumberFormat="1" applyFont="1" applyFill="1" applyAlignment="1">
      <alignment wrapText="1"/>
    </xf>
    <xf numFmtId="0" fontId="3" fillId="27" borderId="0" xfId="0" applyFont="1" applyFill="1" applyAlignment="1">
      <alignment wrapText="1"/>
    </xf>
    <xf numFmtId="49" fontId="13" fillId="0" borderId="11" xfId="0" applyNumberFormat="1" applyFont="1" applyFill="1" applyBorder="1" applyAlignment="1" applyProtection="1">
      <alignment vertical="center" wrapText="1"/>
      <protection locked="0"/>
    </xf>
    <xf numFmtId="198" fontId="69" fillId="27" borderId="0" xfId="0" applyNumberFormat="1" applyFont="1" applyFill="1" applyBorder="1" applyAlignment="1" applyProtection="1">
      <alignment/>
      <protection locked="0"/>
    </xf>
    <xf numFmtId="198" fontId="29" fillId="0" borderId="0" xfId="0" applyNumberFormat="1" applyFont="1" applyFill="1" applyAlignment="1">
      <alignment/>
    </xf>
    <xf numFmtId="0" fontId="30" fillId="0" borderId="0" xfId="0" applyFont="1" applyFill="1" applyAlignment="1">
      <alignment/>
    </xf>
    <xf numFmtId="49" fontId="21" fillId="0" borderId="0" xfId="0" applyNumberFormat="1" applyFont="1" applyFill="1" applyBorder="1" applyAlignment="1">
      <alignment horizontal="center"/>
    </xf>
    <xf numFmtId="0" fontId="15" fillId="0" borderId="0" xfId="0" applyFont="1" applyFill="1" applyBorder="1" applyAlignment="1">
      <alignment/>
    </xf>
    <xf numFmtId="0" fontId="12" fillId="0" borderId="0" xfId="0" applyFont="1" applyFill="1" applyBorder="1" applyAlignment="1">
      <alignment vertical="center" wrapText="1"/>
    </xf>
    <xf numFmtId="0" fontId="13" fillId="0" borderId="11" xfId="0" applyFont="1" applyFill="1" applyBorder="1" applyAlignment="1">
      <alignment vertical="center" wrapText="1"/>
    </xf>
    <xf numFmtId="49" fontId="22" fillId="27" borderId="11" xfId="0" applyNumberFormat="1" applyFont="1" applyFill="1" applyBorder="1" applyAlignment="1" applyProtection="1">
      <alignment horizontal="center" vertical="center" wrapText="1"/>
      <protection locked="0"/>
    </xf>
    <xf numFmtId="0" fontId="6" fillId="27" borderId="11" xfId="0" applyFont="1" applyFill="1" applyBorder="1" applyAlignment="1">
      <alignment horizontal="center"/>
    </xf>
    <xf numFmtId="49" fontId="13" fillId="0" borderId="10" xfId="0" applyNumberFormat="1" applyFont="1" applyFill="1" applyBorder="1" applyAlignment="1">
      <alignment horizontal="center" vertical="center" wrapText="1"/>
    </xf>
    <xf numFmtId="49" fontId="13" fillId="0" borderId="10" xfId="0" applyNumberFormat="1" applyFont="1" applyFill="1" applyBorder="1" applyAlignment="1">
      <alignment vertical="center" wrapText="1"/>
    </xf>
    <xf numFmtId="0" fontId="6" fillId="0" borderId="10" xfId="0" applyFont="1" applyFill="1" applyBorder="1" applyAlignment="1">
      <alignment horizontal="center"/>
    </xf>
    <xf numFmtId="0" fontId="3" fillId="2" borderId="10" xfId="0" applyFont="1" applyFill="1" applyBorder="1" applyAlignment="1">
      <alignment horizontal="center"/>
    </xf>
    <xf numFmtId="0" fontId="6" fillId="27" borderId="10" xfId="0" applyFont="1" applyFill="1" applyBorder="1" applyAlignment="1">
      <alignment horizontal="center"/>
    </xf>
    <xf numFmtId="0" fontId="6" fillId="0" borderId="10" xfId="0" applyFont="1" applyFill="1" applyBorder="1" applyAlignment="1" applyProtection="1">
      <alignment horizontal="center"/>
      <protection locked="0"/>
    </xf>
    <xf numFmtId="0" fontId="6" fillId="28" borderId="10" xfId="0" applyFont="1" applyFill="1" applyBorder="1" applyAlignment="1" applyProtection="1">
      <alignment horizontal="center"/>
      <protection locked="0"/>
    </xf>
    <xf numFmtId="0" fontId="6" fillId="28" borderId="10" xfId="0" applyFont="1" applyFill="1" applyBorder="1" applyAlignment="1">
      <alignment horizontal="center"/>
    </xf>
    <xf numFmtId="49" fontId="21" fillId="0" borderId="10" xfId="0" applyNumberFormat="1" applyFont="1" applyFill="1" applyBorder="1" applyAlignment="1" applyProtection="1">
      <alignment horizontal="center" vertical="center" wrapText="1"/>
      <protection locked="0"/>
    </xf>
    <xf numFmtId="196" fontId="4" fillId="0" borderId="0" xfId="0" applyNumberFormat="1" applyFont="1" applyFill="1" applyBorder="1" applyAlignment="1">
      <alignment wrapText="1"/>
    </xf>
    <xf numFmtId="196" fontId="4" fillId="28" borderId="0" xfId="0" applyNumberFormat="1" applyFont="1" applyFill="1" applyBorder="1" applyAlignment="1">
      <alignment wrapText="1"/>
    </xf>
    <xf numFmtId="196" fontId="31" fillId="0" borderId="0" xfId="0" applyNumberFormat="1" applyFont="1" applyFill="1" applyBorder="1" applyAlignment="1" applyProtection="1">
      <alignment/>
      <protection locked="0"/>
    </xf>
    <xf numFmtId="196" fontId="32" fillId="28" borderId="0" xfId="0" applyNumberFormat="1" applyFont="1" applyFill="1" applyBorder="1" applyAlignment="1">
      <alignment wrapText="1"/>
    </xf>
    <xf numFmtId="196" fontId="33" fillId="0" borderId="0" xfId="0" applyNumberFormat="1" applyFont="1" applyFill="1" applyBorder="1" applyAlignment="1">
      <alignment wrapText="1"/>
    </xf>
    <xf numFmtId="196" fontId="33" fillId="28" borderId="0" xfId="0" applyNumberFormat="1" applyFont="1" applyFill="1" applyBorder="1" applyAlignment="1">
      <alignment wrapText="1"/>
    </xf>
    <xf numFmtId="196" fontId="34" fillId="28" borderId="0" xfId="0" applyNumberFormat="1" applyFont="1" applyFill="1" applyBorder="1" applyAlignment="1">
      <alignment wrapText="1"/>
    </xf>
    <xf numFmtId="196" fontId="4" fillId="0" borderId="0" xfId="0" applyNumberFormat="1" applyFont="1" applyFill="1" applyBorder="1" applyAlignment="1" applyProtection="1">
      <alignment/>
      <protection locked="0"/>
    </xf>
    <xf numFmtId="196" fontId="25" fillId="0" borderId="0" xfId="0" applyNumberFormat="1" applyFont="1" applyFill="1" applyBorder="1" applyAlignment="1">
      <alignment wrapText="1"/>
    </xf>
    <xf numFmtId="196" fontId="25" fillId="28" borderId="0" xfId="0" applyNumberFormat="1" applyFont="1" applyFill="1" applyBorder="1" applyAlignment="1">
      <alignment wrapText="1"/>
    </xf>
    <xf numFmtId="196" fontId="31" fillId="28" borderId="0" xfId="0" applyNumberFormat="1" applyFont="1" applyFill="1" applyBorder="1" applyAlignment="1" applyProtection="1">
      <alignment/>
      <protection locked="0"/>
    </xf>
    <xf numFmtId="196" fontId="35" fillId="0" borderId="0" xfId="0" applyNumberFormat="1" applyFont="1" applyFill="1" applyBorder="1" applyAlignment="1" applyProtection="1">
      <alignment/>
      <protection locked="0"/>
    </xf>
    <xf numFmtId="196" fontId="33" fillId="0" borderId="0" xfId="0" applyNumberFormat="1" applyFont="1" applyFill="1" applyAlignment="1">
      <alignment horizontal="right" wrapText="1"/>
    </xf>
    <xf numFmtId="196" fontId="4" fillId="0" borderId="0" xfId="0" applyNumberFormat="1" applyFont="1" applyFill="1" applyAlignment="1">
      <alignment horizontal="right" wrapText="1"/>
    </xf>
    <xf numFmtId="196" fontId="36" fillId="0" borderId="0" xfId="0" applyNumberFormat="1" applyFont="1" applyFill="1" applyBorder="1" applyAlignment="1">
      <alignment wrapText="1"/>
    </xf>
    <xf numFmtId="196" fontId="33" fillId="0" borderId="0" xfId="0" applyNumberFormat="1" applyFont="1" applyFill="1" applyBorder="1" applyAlignment="1" applyProtection="1">
      <alignment/>
      <protection locked="0"/>
    </xf>
    <xf numFmtId="196" fontId="4" fillId="0" borderId="0" xfId="0" applyNumberFormat="1" applyFont="1" applyFill="1" applyAlignment="1">
      <alignment horizontal="right"/>
    </xf>
    <xf numFmtId="196" fontId="33" fillId="0" borderId="0" xfId="0" applyNumberFormat="1" applyFont="1" applyFill="1" applyBorder="1" applyAlignment="1">
      <alignment horizontal="right" wrapText="1"/>
    </xf>
    <xf numFmtId="196" fontId="34" fillId="0" borderId="0" xfId="0" applyNumberFormat="1" applyFont="1" applyFill="1" applyBorder="1" applyAlignment="1">
      <alignment wrapText="1"/>
    </xf>
    <xf numFmtId="196" fontId="34" fillId="28" borderId="0" xfId="0" applyNumberFormat="1" applyFont="1" applyFill="1" applyBorder="1" applyAlignment="1">
      <alignment wrapText="1"/>
    </xf>
    <xf numFmtId="196" fontId="34" fillId="0" borderId="0" xfId="0" applyNumberFormat="1" applyFont="1" applyFill="1" applyBorder="1" applyAlignment="1">
      <alignment wrapText="1"/>
    </xf>
    <xf numFmtId="196" fontId="33" fillId="29" borderId="0" xfId="0" applyNumberFormat="1" applyFont="1" applyFill="1" applyBorder="1" applyAlignment="1">
      <alignment wrapText="1"/>
    </xf>
    <xf numFmtId="196" fontId="37" fillId="28" borderId="0" xfId="0" applyNumberFormat="1" applyFont="1" applyFill="1" applyBorder="1" applyAlignment="1" applyProtection="1">
      <alignment/>
      <protection locked="0"/>
    </xf>
    <xf numFmtId="196" fontId="4" fillId="28" borderId="0" xfId="0" applyNumberFormat="1" applyFont="1" applyFill="1" applyBorder="1" applyAlignment="1" applyProtection="1">
      <alignment/>
      <protection locked="0"/>
    </xf>
    <xf numFmtId="196" fontId="70" fillId="0" borderId="0" xfId="0" applyNumberFormat="1" applyFont="1" applyFill="1" applyBorder="1" applyAlignment="1">
      <alignment wrapText="1"/>
    </xf>
    <xf numFmtId="196" fontId="71" fillId="0" borderId="0" xfId="0" applyNumberFormat="1" applyFont="1" applyFill="1" applyBorder="1" applyAlignment="1">
      <alignment wrapText="1"/>
    </xf>
    <xf numFmtId="196" fontId="70" fillId="28" borderId="0" xfId="0" applyNumberFormat="1" applyFont="1" applyFill="1" applyBorder="1" applyAlignment="1" applyProtection="1">
      <alignment/>
      <protection locked="0"/>
    </xf>
    <xf numFmtId="196" fontId="70" fillId="28" borderId="0" xfId="0" applyNumberFormat="1" applyFont="1" applyFill="1" applyBorder="1" applyAlignment="1">
      <alignment wrapText="1"/>
    </xf>
    <xf numFmtId="196" fontId="4" fillId="0" borderId="0" xfId="0" applyNumberFormat="1" applyFont="1" applyFill="1" applyBorder="1" applyAlignment="1">
      <alignment horizontal="right" wrapText="1"/>
    </xf>
    <xf numFmtId="196" fontId="4" fillId="28" borderId="0" xfId="0" applyNumberFormat="1" applyFont="1" applyFill="1" applyBorder="1" applyAlignment="1">
      <alignment horizontal="right" wrapText="1"/>
    </xf>
    <xf numFmtId="196" fontId="70" fillId="28" borderId="0" xfId="0" applyNumberFormat="1" applyFont="1" applyFill="1" applyBorder="1" applyAlignment="1">
      <alignment horizontal="right" wrapText="1"/>
    </xf>
    <xf numFmtId="196" fontId="72" fillId="0" borderId="0" xfId="0" applyNumberFormat="1" applyFont="1" applyFill="1" applyBorder="1" applyAlignment="1" applyProtection="1">
      <alignment/>
      <protection locked="0"/>
    </xf>
    <xf numFmtId="196" fontId="35" fillId="28" borderId="0" xfId="0" applyNumberFormat="1" applyFont="1" applyFill="1" applyBorder="1" applyAlignment="1" applyProtection="1">
      <alignment/>
      <protection locked="0"/>
    </xf>
    <xf numFmtId="196" fontId="25" fillId="0" borderId="0" xfId="0" applyNumberFormat="1" applyFont="1" applyFill="1" applyBorder="1" applyAlignment="1">
      <alignment horizontal="center" wrapText="1"/>
    </xf>
    <xf numFmtId="196" fontId="25" fillId="0" borderId="0" xfId="0" applyNumberFormat="1" applyFont="1" applyFill="1" applyBorder="1" applyAlignment="1">
      <alignment horizontal="right" wrapText="1"/>
    </xf>
    <xf numFmtId="196" fontId="25" fillId="28" borderId="0" xfId="0" applyNumberFormat="1" applyFont="1" applyFill="1" applyBorder="1" applyAlignment="1">
      <alignment horizontal="center" wrapText="1"/>
    </xf>
    <xf numFmtId="196" fontId="25" fillId="28" borderId="0" xfId="0" applyNumberFormat="1" applyFont="1" applyFill="1" applyBorder="1" applyAlignment="1">
      <alignment horizontal="right" wrapText="1"/>
    </xf>
    <xf numFmtId="2" fontId="38" fillId="0" borderId="0" xfId="0" applyNumberFormat="1" applyFont="1" applyAlignment="1">
      <alignment/>
    </xf>
    <xf numFmtId="2" fontId="38" fillId="0" borderId="0" xfId="0" applyNumberFormat="1" applyFont="1" applyAlignment="1">
      <alignment horizontal="left"/>
    </xf>
    <xf numFmtId="195" fontId="3" fillId="0" borderId="0" xfId="0" applyNumberFormat="1" applyFont="1" applyFill="1" applyBorder="1" applyAlignment="1">
      <alignment wrapText="1"/>
    </xf>
    <xf numFmtId="195" fontId="3" fillId="0" borderId="0" xfId="0" applyNumberFormat="1" applyFont="1" applyFill="1" applyBorder="1" applyAlignment="1">
      <alignment/>
    </xf>
    <xf numFmtId="195" fontId="3" fillId="0" borderId="0" xfId="0" applyNumberFormat="1" applyFont="1" applyFill="1" applyBorder="1" applyAlignment="1">
      <alignment horizontal="right"/>
    </xf>
    <xf numFmtId="195" fontId="3" fillId="0" borderId="0" xfId="0" applyNumberFormat="1" applyFont="1" applyFill="1" applyAlignment="1">
      <alignment wrapText="1"/>
    </xf>
    <xf numFmtId="198" fontId="25" fillId="0" borderId="0" xfId="0" applyNumberFormat="1" applyFont="1" applyFill="1" applyBorder="1" applyAlignment="1">
      <alignment wrapText="1"/>
    </xf>
    <xf numFmtId="0" fontId="38" fillId="0" borderId="0" xfId="0" applyFont="1" applyAlignment="1">
      <alignment horizontal="right"/>
    </xf>
    <xf numFmtId="0" fontId="25" fillId="0" borderId="0" xfId="0" applyFont="1" applyFill="1" applyBorder="1" applyAlignment="1">
      <alignment/>
    </xf>
    <xf numFmtId="49" fontId="25" fillId="0" borderId="0" xfId="0" applyNumberFormat="1" applyFont="1" applyFill="1" applyBorder="1" applyAlignment="1">
      <alignment horizontal="center"/>
    </xf>
    <xf numFmtId="49" fontId="25" fillId="27" borderId="0" xfId="0" applyNumberFormat="1" applyFont="1" applyFill="1" applyBorder="1" applyAlignment="1">
      <alignment horizontal="center" wrapText="1"/>
    </xf>
    <xf numFmtId="198" fontId="25" fillId="0" borderId="0" xfId="0" applyNumberFormat="1" applyFont="1" applyFill="1" applyBorder="1" applyAlignment="1">
      <alignment/>
    </xf>
    <xf numFmtId="0" fontId="5" fillId="0" borderId="0" xfId="0" applyFont="1" applyFill="1" applyAlignment="1">
      <alignment/>
    </xf>
    <xf numFmtId="0" fontId="39" fillId="0" borderId="0" xfId="0" applyFont="1" applyFill="1" applyAlignment="1">
      <alignment/>
    </xf>
    <xf numFmtId="2" fontId="12" fillId="0" borderId="0" xfId="0" applyNumberFormat="1" applyFont="1" applyFill="1" applyBorder="1" applyAlignment="1">
      <alignment wrapText="1"/>
    </xf>
    <xf numFmtId="198" fontId="16" fillId="28" borderId="0" xfId="0" applyNumberFormat="1" applyFont="1" applyFill="1" applyBorder="1" applyAlignment="1" applyProtection="1">
      <alignment/>
      <protection locked="0"/>
    </xf>
    <xf numFmtId="196" fontId="12" fillId="0" borderId="0" xfId="0" applyNumberFormat="1" applyFont="1" applyFill="1" applyBorder="1" applyAlignment="1">
      <alignment wrapText="1"/>
    </xf>
    <xf numFmtId="196" fontId="3" fillId="0" borderId="0" xfId="0" applyNumberFormat="1" applyFont="1" applyFill="1" applyBorder="1" applyAlignment="1">
      <alignment wrapText="1"/>
    </xf>
    <xf numFmtId="196" fontId="4" fillId="0" borderId="0" xfId="0" applyNumberFormat="1" applyFont="1" applyFill="1" applyAlignment="1">
      <alignment wrapText="1"/>
    </xf>
    <xf numFmtId="0" fontId="9" fillId="0" borderId="0" xfId="0" applyFont="1" applyFill="1" applyBorder="1" applyAlignment="1">
      <alignment wrapText="1"/>
    </xf>
    <xf numFmtId="196" fontId="73" fillId="0" borderId="0" xfId="0" applyNumberFormat="1" applyFont="1" applyFill="1" applyBorder="1" applyAlignment="1">
      <alignment wrapText="1"/>
    </xf>
    <xf numFmtId="196" fontId="72" fillId="28" borderId="0" xfId="0" applyNumberFormat="1" applyFont="1" applyFill="1" applyBorder="1" applyAlignment="1" applyProtection="1">
      <alignment/>
      <protection locked="0"/>
    </xf>
    <xf numFmtId="0" fontId="13" fillId="0" borderId="10" xfId="0" applyFont="1" applyFill="1" applyBorder="1" applyAlignment="1">
      <alignment horizontal="center" vertical="center" wrapText="1"/>
    </xf>
    <xf numFmtId="49" fontId="21" fillId="0" borderId="12" xfId="0" applyNumberFormat="1" applyFont="1" applyFill="1" applyBorder="1" applyAlignment="1" applyProtection="1">
      <alignment horizontal="center" vertical="center" wrapText="1"/>
      <protection locked="0"/>
    </xf>
    <xf numFmtId="49" fontId="21" fillId="0" borderId="13" xfId="0" applyNumberFormat="1" applyFont="1" applyFill="1" applyBorder="1" applyAlignment="1" applyProtection="1">
      <alignment horizontal="center" vertical="center" wrapText="1"/>
      <protection locked="0"/>
    </xf>
    <xf numFmtId="49" fontId="21" fillId="0" borderId="14" xfId="0" applyNumberFormat="1" applyFont="1" applyFill="1" applyBorder="1" applyAlignment="1" applyProtection="1">
      <alignment horizontal="center" vertical="center" wrapText="1"/>
      <protection locked="0"/>
    </xf>
    <xf numFmtId="49" fontId="21" fillId="0" borderId="15" xfId="0" applyNumberFormat="1" applyFont="1" applyFill="1" applyBorder="1" applyAlignment="1" applyProtection="1">
      <alignment horizontal="center" vertical="center" wrapText="1"/>
      <protection locked="0"/>
    </xf>
    <xf numFmtId="0" fontId="39" fillId="0" borderId="0" xfId="0" applyFont="1" applyFill="1" applyAlignment="1">
      <alignment horizontal="left" wrapText="1"/>
    </xf>
    <xf numFmtId="49" fontId="5" fillId="0" borderId="0" xfId="0" applyNumberFormat="1" applyFont="1" applyFill="1" applyAlignment="1">
      <alignment horizontal="center" wrapText="1"/>
    </xf>
    <xf numFmtId="49" fontId="3" fillId="0" borderId="0" xfId="0" applyNumberFormat="1" applyFont="1" applyFill="1" applyAlignment="1">
      <alignment horizontal="center" wrapText="1"/>
    </xf>
    <xf numFmtId="0" fontId="3" fillId="0" borderId="0" xfId="0" applyFont="1" applyFill="1" applyBorder="1" applyAlignment="1">
      <alignment horizontal="center" wrapText="1"/>
    </xf>
    <xf numFmtId="0" fontId="39" fillId="0" borderId="0" xfId="0" applyFont="1" applyFill="1" applyAlignment="1">
      <alignment horizontal="left"/>
    </xf>
    <xf numFmtId="49" fontId="39" fillId="0" borderId="0" xfId="0" applyNumberFormat="1" applyFont="1" applyFill="1" applyAlignment="1">
      <alignment horizontal="center" wrapText="1"/>
    </xf>
    <xf numFmtId="49" fontId="13" fillId="2" borderId="10" xfId="0" applyNumberFormat="1" applyFont="1" applyFill="1" applyBorder="1" applyAlignment="1">
      <alignment horizontal="center" vertical="center" wrapText="1"/>
    </xf>
    <xf numFmtId="49" fontId="13" fillId="28" borderId="10" xfId="0" applyNumberFormat="1" applyFont="1" applyFill="1" applyBorder="1" applyAlignment="1" applyProtection="1">
      <alignment horizontal="center" vertical="center" wrapText="1"/>
      <protection locked="0"/>
    </xf>
    <xf numFmtId="49" fontId="13" fillId="0" borderId="10" xfId="0" applyNumberFormat="1" applyFont="1" applyFill="1" applyBorder="1" applyAlignment="1">
      <alignment horizontal="center" vertical="center" wrapText="1"/>
    </xf>
    <xf numFmtId="49" fontId="13" fillId="27" borderId="10" xfId="0" applyNumberFormat="1" applyFont="1" applyFill="1" applyBorder="1" applyAlignment="1">
      <alignment horizontal="center" vertical="center" wrapText="1"/>
    </xf>
    <xf numFmtId="49" fontId="13" fillId="0" borderId="10" xfId="0" applyNumberFormat="1" applyFont="1" applyFill="1" applyBorder="1" applyAlignment="1" applyProtection="1">
      <alignment horizontal="center" vertical="center" wrapText="1"/>
      <protection locked="0"/>
    </xf>
    <xf numFmtId="198" fontId="27" fillId="0" borderId="0" xfId="0" applyNumberFormat="1" applyFont="1" applyFill="1" applyAlignment="1">
      <alignment horizontal="center" wrapText="1"/>
    </xf>
    <xf numFmtId="196" fontId="34" fillId="28" borderId="0" xfId="0" applyNumberFormat="1" applyFont="1" applyFill="1" applyBorder="1" applyAlignment="1">
      <alignment horizontal="right" wrapText="1"/>
    </xf>
    <xf numFmtId="49" fontId="21" fillId="0" borderId="10" xfId="0" applyNumberFormat="1" applyFont="1" applyFill="1" applyBorder="1" applyAlignment="1" applyProtection="1">
      <alignment horizontal="center" vertical="center" wrapText="1"/>
      <protection locked="0"/>
    </xf>
    <xf numFmtId="2" fontId="27" fillId="0" borderId="0" xfId="0" applyNumberFormat="1" applyFont="1" applyFill="1" applyAlignment="1">
      <alignment horizontal="lef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1">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V348"/>
  <sheetViews>
    <sheetView tabSelected="1" view="pageBreakPreview" zoomScale="60" zoomScaleNormal="66" zoomScalePageLayoutView="0" workbookViewId="0" topLeftCell="D1">
      <selection activeCell="K8" sqref="K8:K10"/>
    </sheetView>
  </sheetViews>
  <sheetFormatPr defaultColWidth="9.00390625" defaultRowHeight="12.75"/>
  <cols>
    <col min="1" max="1" width="4.00390625" style="2" hidden="1" customWidth="1"/>
    <col min="2" max="2" width="8.25390625" style="2" hidden="1" customWidth="1"/>
    <col min="3" max="5" width="16.00390625" style="26" customWidth="1"/>
    <col min="6" max="6" width="58.875" style="114" hidden="1" customWidth="1"/>
    <col min="7" max="7" width="66.625" style="1" customWidth="1"/>
    <col min="8" max="8" width="19.25390625" style="1" customWidth="1"/>
    <col min="9" max="9" width="19.875" style="1" customWidth="1"/>
    <col min="10" max="10" width="18.375" style="1" customWidth="1"/>
    <col min="11" max="11" width="17.375" style="1" customWidth="1"/>
    <col min="12" max="12" width="11.75390625" style="101" hidden="1" customWidth="1"/>
    <col min="13" max="14" width="18.25390625" style="1" customWidth="1"/>
    <col min="15" max="15" width="17.75390625" style="17" customWidth="1"/>
    <col min="16" max="16" width="19.00390625" style="1" customWidth="1"/>
    <col min="17" max="17" width="17.125" style="1" customWidth="1"/>
    <col min="18" max="18" width="21.875" style="1" customWidth="1"/>
    <col min="19" max="19" width="18.125" style="1" customWidth="1"/>
    <col min="20" max="20" width="19.625" style="146" hidden="1" customWidth="1"/>
    <col min="21" max="21" width="19.875" style="2" customWidth="1"/>
    <col min="22" max="22" width="17.125" style="2" bestFit="1" customWidth="1"/>
    <col min="23" max="23" width="18.125" style="2" customWidth="1"/>
    <col min="24" max="16384" width="9.125" style="2" customWidth="1"/>
  </cols>
  <sheetData>
    <row r="1" spans="3:19" s="9" customFormat="1" ht="26.25" customHeight="1">
      <c r="C1" s="26"/>
      <c r="D1" s="26"/>
      <c r="E1" s="26"/>
      <c r="F1" s="114"/>
      <c r="G1" s="8"/>
      <c r="H1" s="8"/>
      <c r="I1" s="8"/>
      <c r="J1" s="8"/>
      <c r="K1" s="8"/>
      <c r="L1" s="100"/>
      <c r="M1" s="8"/>
      <c r="N1" s="8"/>
      <c r="O1" s="17"/>
      <c r="P1" s="230" t="s">
        <v>698</v>
      </c>
      <c r="Q1" s="230"/>
      <c r="R1" s="230"/>
      <c r="S1" s="230"/>
    </row>
    <row r="2" spans="3:19" s="9" customFormat="1" ht="31.5" customHeight="1">
      <c r="C2" s="26"/>
      <c r="D2" s="26"/>
      <c r="E2" s="26"/>
      <c r="F2" s="114"/>
      <c r="G2" s="8"/>
      <c r="H2" s="8"/>
      <c r="I2" s="8"/>
      <c r="J2" s="8"/>
      <c r="K2" s="8"/>
      <c r="L2" s="100"/>
      <c r="M2" s="8"/>
      <c r="N2" s="8"/>
      <c r="O2" s="215" t="s">
        <v>704</v>
      </c>
      <c r="P2" s="234" t="s">
        <v>746</v>
      </c>
      <c r="Q2" s="234"/>
      <c r="R2" s="234"/>
      <c r="S2" s="234"/>
    </row>
    <row r="3" spans="3:19" s="9" customFormat="1" ht="30.75" customHeight="1">
      <c r="C3" s="26"/>
      <c r="D3" s="26"/>
      <c r="E3" s="26"/>
      <c r="F3" s="114"/>
      <c r="G3" s="8"/>
      <c r="H3" s="8"/>
      <c r="I3" s="8"/>
      <c r="J3" s="8"/>
      <c r="K3" s="8"/>
      <c r="L3" s="100"/>
      <c r="M3" s="8"/>
      <c r="N3" s="8"/>
      <c r="O3" s="215"/>
      <c r="P3" s="216" t="s">
        <v>745</v>
      </c>
      <c r="Q3" s="216"/>
      <c r="R3" s="216"/>
      <c r="S3" s="216"/>
    </row>
    <row r="4" spans="3:20" s="9" customFormat="1" ht="36" customHeight="1">
      <c r="C4" s="26"/>
      <c r="D4" s="235" t="s">
        <v>728</v>
      </c>
      <c r="E4" s="235"/>
      <c r="F4" s="235"/>
      <c r="G4" s="235"/>
      <c r="H4" s="235"/>
      <c r="I4" s="235"/>
      <c r="J4" s="235"/>
      <c r="K4" s="235"/>
      <c r="L4" s="235"/>
      <c r="M4" s="235"/>
      <c r="N4" s="235"/>
      <c r="O4" s="235"/>
      <c r="P4" s="235"/>
      <c r="Q4" s="235"/>
      <c r="R4" s="235"/>
      <c r="S4" s="235"/>
      <c r="T4" s="235"/>
    </row>
    <row r="5" spans="3:20" s="9" customFormat="1" ht="24" customHeight="1">
      <c r="C5" s="26"/>
      <c r="D5" s="26"/>
      <c r="E5" s="26"/>
      <c r="F5" s="231"/>
      <c r="G5" s="231"/>
      <c r="H5" s="231"/>
      <c r="I5" s="231"/>
      <c r="J5" s="231"/>
      <c r="K5" s="231"/>
      <c r="L5" s="231"/>
      <c r="M5" s="231"/>
      <c r="N5" s="231"/>
      <c r="O5" s="232"/>
      <c r="P5" s="231"/>
      <c r="Q5" s="231"/>
      <c r="R5" s="231"/>
      <c r="S5" s="231"/>
      <c r="T5" s="231"/>
    </row>
    <row r="6" spans="19:20" ht="19.5" thickBot="1">
      <c r="S6" s="233" t="s">
        <v>218</v>
      </c>
      <c r="T6" s="233"/>
    </row>
    <row r="7" spans="3:20" s="10" customFormat="1" ht="38.25" customHeight="1" thickBot="1">
      <c r="C7" s="238" t="s">
        <v>15</v>
      </c>
      <c r="D7" s="236" t="s">
        <v>410</v>
      </c>
      <c r="E7" s="236" t="s">
        <v>411</v>
      </c>
      <c r="F7" s="239" t="s">
        <v>16</v>
      </c>
      <c r="G7" s="238" t="s">
        <v>17</v>
      </c>
      <c r="H7" s="225" t="s">
        <v>193</v>
      </c>
      <c r="I7" s="225"/>
      <c r="J7" s="225"/>
      <c r="K7" s="225" t="s">
        <v>219</v>
      </c>
      <c r="L7" s="225"/>
      <c r="M7" s="225"/>
      <c r="N7" s="225"/>
      <c r="O7" s="225"/>
      <c r="P7" s="225" t="s">
        <v>697</v>
      </c>
      <c r="Q7" s="225"/>
      <c r="R7" s="225"/>
      <c r="S7" s="225"/>
      <c r="T7" s="154"/>
    </row>
    <row r="8" spans="3:20" s="10" customFormat="1" ht="21.75" customHeight="1" thickBot="1">
      <c r="C8" s="238"/>
      <c r="D8" s="236"/>
      <c r="E8" s="236"/>
      <c r="F8" s="239"/>
      <c r="G8" s="238"/>
      <c r="H8" s="240" t="s">
        <v>694</v>
      </c>
      <c r="I8" s="243" t="s">
        <v>695</v>
      </c>
      <c r="J8" s="237" t="s">
        <v>696</v>
      </c>
      <c r="K8" s="240" t="s">
        <v>694</v>
      </c>
      <c r="L8" s="243" t="s">
        <v>14</v>
      </c>
      <c r="M8" s="226" t="s">
        <v>695</v>
      </c>
      <c r="N8" s="227"/>
      <c r="O8" s="237" t="s">
        <v>696</v>
      </c>
      <c r="P8" s="240" t="s">
        <v>694</v>
      </c>
      <c r="Q8" s="243" t="s">
        <v>695</v>
      </c>
      <c r="R8" s="237" t="s">
        <v>703</v>
      </c>
      <c r="S8" s="237" t="s">
        <v>696</v>
      </c>
      <c r="T8" s="147"/>
    </row>
    <row r="9" spans="3:20" s="10" customFormat="1" ht="32.25" customHeight="1" thickBot="1">
      <c r="C9" s="238"/>
      <c r="D9" s="236"/>
      <c r="E9" s="236"/>
      <c r="F9" s="239"/>
      <c r="G9" s="158"/>
      <c r="H9" s="240"/>
      <c r="I9" s="243"/>
      <c r="J9" s="237"/>
      <c r="K9" s="240"/>
      <c r="L9" s="243"/>
      <c r="M9" s="228"/>
      <c r="N9" s="229"/>
      <c r="O9" s="237"/>
      <c r="P9" s="240"/>
      <c r="Q9" s="243"/>
      <c r="R9" s="237"/>
      <c r="S9" s="237"/>
      <c r="T9" s="128" t="s">
        <v>194</v>
      </c>
    </row>
    <row r="10" spans="3:20" s="10" customFormat="1" ht="83.25" customHeight="1" thickBot="1">
      <c r="C10" s="238"/>
      <c r="D10" s="236"/>
      <c r="E10" s="236"/>
      <c r="F10" s="239"/>
      <c r="G10" s="157" t="s">
        <v>113</v>
      </c>
      <c r="H10" s="240"/>
      <c r="I10" s="243"/>
      <c r="J10" s="237"/>
      <c r="K10" s="240"/>
      <c r="L10" s="243"/>
      <c r="M10" s="165" t="s">
        <v>700</v>
      </c>
      <c r="N10" s="165" t="s">
        <v>701</v>
      </c>
      <c r="O10" s="237"/>
      <c r="P10" s="240"/>
      <c r="Q10" s="243"/>
      <c r="R10" s="237"/>
      <c r="S10" s="237"/>
      <c r="T10" s="155" t="s">
        <v>257</v>
      </c>
    </row>
    <row r="11" spans="3:20" s="10" customFormat="1" ht="17.25" customHeight="1" thickBot="1">
      <c r="C11" s="159">
        <v>1</v>
      </c>
      <c r="D11" s="160">
        <v>2</v>
      </c>
      <c r="E11" s="160">
        <v>3</v>
      </c>
      <c r="F11" s="161">
        <v>2</v>
      </c>
      <c r="G11" s="159">
        <v>4</v>
      </c>
      <c r="H11" s="162">
        <v>5</v>
      </c>
      <c r="I11" s="159">
        <v>6</v>
      </c>
      <c r="J11" s="163">
        <v>7</v>
      </c>
      <c r="K11" s="159">
        <v>8</v>
      </c>
      <c r="L11" s="162">
        <v>9</v>
      </c>
      <c r="M11" s="159">
        <v>10</v>
      </c>
      <c r="N11" s="159">
        <v>11</v>
      </c>
      <c r="O11" s="163">
        <v>12</v>
      </c>
      <c r="P11" s="159">
        <v>13</v>
      </c>
      <c r="Q11" s="162">
        <v>14</v>
      </c>
      <c r="R11" s="164">
        <v>15</v>
      </c>
      <c r="S11" s="163">
        <v>16</v>
      </c>
      <c r="T11" s="156">
        <v>15</v>
      </c>
    </row>
    <row r="12" spans="3:21" s="7" customFormat="1" ht="42.75" customHeight="1">
      <c r="C12" s="30" t="s">
        <v>130</v>
      </c>
      <c r="D12" s="30"/>
      <c r="E12" s="30"/>
      <c r="F12" s="115"/>
      <c r="G12" s="85" t="s">
        <v>398</v>
      </c>
      <c r="H12" s="166"/>
      <c r="I12" s="166"/>
      <c r="J12" s="167"/>
      <c r="K12" s="166"/>
      <c r="L12" s="166"/>
      <c r="M12" s="166"/>
      <c r="N12" s="166"/>
      <c r="O12" s="167"/>
      <c r="P12" s="166"/>
      <c r="Q12" s="166"/>
      <c r="R12" s="167"/>
      <c r="S12" s="167"/>
      <c r="T12" s="129"/>
      <c r="U12" s="22"/>
    </row>
    <row r="13" spans="3:21" s="7" customFormat="1" ht="56.25" customHeight="1">
      <c r="C13" s="151" t="s">
        <v>136</v>
      </c>
      <c r="D13" s="30"/>
      <c r="E13" s="30"/>
      <c r="F13" s="115"/>
      <c r="G13" s="31" t="s">
        <v>397</v>
      </c>
      <c r="H13" s="166"/>
      <c r="I13" s="166"/>
      <c r="J13" s="167"/>
      <c r="K13" s="166" t="s">
        <v>293</v>
      </c>
      <c r="L13" s="166"/>
      <c r="M13" s="166"/>
      <c r="N13" s="166"/>
      <c r="O13" s="167"/>
      <c r="P13" s="166"/>
      <c r="Q13" s="166"/>
      <c r="R13" s="167"/>
      <c r="S13" s="167"/>
      <c r="T13" s="129"/>
      <c r="U13" s="22"/>
    </row>
    <row r="14" spans="1:20" s="18" customFormat="1" ht="90" customHeight="1">
      <c r="A14" s="18">
        <v>1</v>
      </c>
      <c r="B14" s="18">
        <v>1</v>
      </c>
      <c r="C14" s="32" t="s">
        <v>294</v>
      </c>
      <c r="D14" s="32" t="s">
        <v>420</v>
      </c>
      <c r="E14" s="32" t="s">
        <v>421</v>
      </c>
      <c r="F14" s="115" t="s">
        <v>196</v>
      </c>
      <c r="G14" s="60" t="s">
        <v>600</v>
      </c>
      <c r="H14" s="166">
        <f>SUM(H15:H16)</f>
        <v>10704.9</v>
      </c>
      <c r="I14" s="166">
        <f>SUM(I15:I16)</f>
        <v>8379.800000000001</v>
      </c>
      <c r="J14" s="167">
        <f>I14/H14*100</f>
        <v>78.28003998169063</v>
      </c>
      <c r="K14" s="166">
        <f aca="true" t="shared" si="0" ref="K14:T14">SUM(K15:K16)</f>
        <v>784.5</v>
      </c>
      <c r="L14" s="166">
        <f t="shared" si="0"/>
        <v>0</v>
      </c>
      <c r="M14" s="166">
        <f t="shared" si="0"/>
        <v>0</v>
      </c>
      <c r="N14" s="166">
        <f t="shared" si="0"/>
        <v>0</v>
      </c>
      <c r="O14" s="167">
        <f>M14/K14*100</f>
        <v>0</v>
      </c>
      <c r="P14" s="166">
        <f>H14+K14</f>
        <v>11489.4</v>
      </c>
      <c r="Q14" s="166">
        <f>I14+M14</f>
        <v>8379.800000000001</v>
      </c>
      <c r="R14" s="167">
        <f>Q14-P14</f>
        <v>-3109.5999999999985</v>
      </c>
      <c r="S14" s="167">
        <f>Q14/P14*100</f>
        <v>72.93505317945238</v>
      </c>
      <c r="T14" s="129">
        <f t="shared" si="0"/>
        <v>774</v>
      </c>
    </row>
    <row r="15" spans="3:20" s="7" customFormat="1" ht="43.5" customHeight="1">
      <c r="C15" s="32"/>
      <c r="D15" s="32"/>
      <c r="E15" s="32"/>
      <c r="F15" s="115"/>
      <c r="G15" s="60" t="s">
        <v>195</v>
      </c>
      <c r="H15" s="168">
        <v>10687.9</v>
      </c>
      <c r="I15" s="168">
        <v>8376.2</v>
      </c>
      <c r="J15" s="167">
        <f aca="true" t="shared" si="1" ref="J15:J30">I15/H15*100</f>
        <v>78.37086799090561</v>
      </c>
      <c r="K15" s="168">
        <f>10.5+774</f>
        <v>784.5</v>
      </c>
      <c r="L15" s="168"/>
      <c r="M15" s="166">
        <v>0</v>
      </c>
      <c r="N15" s="166">
        <v>0</v>
      </c>
      <c r="O15" s="167">
        <f>M15/K15*100</f>
        <v>0</v>
      </c>
      <c r="P15" s="166">
        <f aca="true" t="shared" si="2" ref="P15:P29">H15+K15</f>
        <v>11472.4</v>
      </c>
      <c r="Q15" s="166">
        <f aca="true" t="shared" si="3" ref="Q15:Q29">I15+M15</f>
        <v>8376.2</v>
      </c>
      <c r="R15" s="167">
        <f aca="true" t="shared" si="4" ref="R15:R29">Q15-P15</f>
        <v>-3096.199999999999</v>
      </c>
      <c r="S15" s="167">
        <f aca="true" t="shared" si="5" ref="S15:S29">Q15/P15*100</f>
        <v>73.01174993898401</v>
      </c>
      <c r="T15" s="130">
        <v>774</v>
      </c>
    </row>
    <row r="16" spans="3:20" s="7" customFormat="1" ht="66" customHeight="1">
      <c r="C16" s="32"/>
      <c r="D16" s="32"/>
      <c r="E16" s="32"/>
      <c r="F16" s="115"/>
      <c r="G16" s="33" t="s">
        <v>412</v>
      </c>
      <c r="H16" s="168">
        <v>17</v>
      </c>
      <c r="I16" s="166">
        <v>3.6</v>
      </c>
      <c r="J16" s="167">
        <f t="shared" si="1"/>
        <v>21.176470588235293</v>
      </c>
      <c r="K16" s="166"/>
      <c r="L16" s="166"/>
      <c r="M16" s="166"/>
      <c r="N16" s="166"/>
      <c r="O16" s="167"/>
      <c r="P16" s="166">
        <f t="shared" si="2"/>
        <v>17</v>
      </c>
      <c r="Q16" s="166">
        <f t="shared" si="3"/>
        <v>3.6</v>
      </c>
      <c r="R16" s="167">
        <f t="shared" si="4"/>
        <v>-13.4</v>
      </c>
      <c r="S16" s="167">
        <f t="shared" si="5"/>
        <v>21.176470588235293</v>
      </c>
      <c r="T16" s="129"/>
    </row>
    <row r="17" spans="1:20" s="7" customFormat="1" ht="94.5" customHeight="1">
      <c r="A17" s="50">
        <v>11</v>
      </c>
      <c r="B17" s="7">
        <v>4</v>
      </c>
      <c r="C17" s="32" t="s">
        <v>52</v>
      </c>
      <c r="D17" s="32" t="s">
        <v>425</v>
      </c>
      <c r="E17" s="32" t="s">
        <v>426</v>
      </c>
      <c r="F17" s="115" t="s">
        <v>215</v>
      </c>
      <c r="G17" s="40" t="s">
        <v>309</v>
      </c>
      <c r="H17" s="166"/>
      <c r="I17" s="166"/>
      <c r="J17" s="167"/>
      <c r="K17" s="166">
        <v>112</v>
      </c>
      <c r="L17" s="166"/>
      <c r="M17" s="166">
        <v>63.4</v>
      </c>
      <c r="N17" s="166">
        <v>63.4</v>
      </c>
      <c r="O17" s="167">
        <f aca="true" t="shared" si="6" ref="O17:O26">M17/K17*100</f>
        <v>56.607142857142854</v>
      </c>
      <c r="P17" s="166">
        <f t="shared" si="2"/>
        <v>112</v>
      </c>
      <c r="Q17" s="166">
        <f t="shared" si="3"/>
        <v>63.4</v>
      </c>
      <c r="R17" s="167">
        <f t="shared" si="4"/>
        <v>-48.6</v>
      </c>
      <c r="S17" s="167">
        <f t="shared" si="5"/>
        <v>56.607142857142854</v>
      </c>
      <c r="T17" s="14">
        <v>112</v>
      </c>
    </row>
    <row r="18" spans="1:20" s="7" customFormat="1" ht="34.5" customHeight="1">
      <c r="A18" s="50">
        <v>12</v>
      </c>
      <c r="B18" s="7">
        <v>3</v>
      </c>
      <c r="C18" s="32" t="s">
        <v>132</v>
      </c>
      <c r="D18" s="32" t="s">
        <v>422</v>
      </c>
      <c r="E18" s="32" t="s">
        <v>424</v>
      </c>
      <c r="F18" s="115"/>
      <c r="G18" s="33" t="s">
        <v>133</v>
      </c>
      <c r="H18" s="166">
        <f>SUM(H19:H20)</f>
        <v>43.9</v>
      </c>
      <c r="I18" s="166">
        <f>SUM(I19:I20)</f>
        <v>43.91518</v>
      </c>
      <c r="J18" s="167">
        <f t="shared" si="1"/>
        <v>100.03457858769931</v>
      </c>
      <c r="K18" s="166"/>
      <c r="L18" s="166"/>
      <c r="M18" s="166"/>
      <c r="N18" s="166"/>
      <c r="O18" s="167"/>
      <c r="P18" s="166">
        <f t="shared" si="2"/>
        <v>43.9</v>
      </c>
      <c r="Q18" s="166">
        <f t="shared" si="3"/>
        <v>43.91518</v>
      </c>
      <c r="R18" s="167">
        <f t="shared" si="4"/>
        <v>0.01518000000000086</v>
      </c>
      <c r="S18" s="167">
        <f t="shared" si="5"/>
        <v>100.03457858769931</v>
      </c>
      <c r="T18" s="129">
        <f>T20</f>
        <v>0</v>
      </c>
    </row>
    <row r="19" spans="2:20" s="39" customFormat="1" ht="36" customHeight="1" hidden="1">
      <c r="B19" s="39">
        <v>2</v>
      </c>
      <c r="C19" s="35" t="s">
        <v>259</v>
      </c>
      <c r="D19" s="35" t="s">
        <v>430</v>
      </c>
      <c r="E19" s="35" t="s">
        <v>424</v>
      </c>
      <c r="F19" s="119" t="s">
        <v>13</v>
      </c>
      <c r="G19" s="45" t="s">
        <v>260</v>
      </c>
      <c r="H19" s="170"/>
      <c r="I19" s="170"/>
      <c r="J19" s="167" t="e">
        <f t="shared" si="1"/>
        <v>#DIV/0!</v>
      </c>
      <c r="K19" s="170"/>
      <c r="L19" s="170"/>
      <c r="M19" s="170"/>
      <c r="N19" s="170"/>
      <c r="O19" s="167"/>
      <c r="P19" s="166">
        <f t="shared" si="2"/>
        <v>0</v>
      </c>
      <c r="Q19" s="166">
        <f t="shared" si="3"/>
        <v>0</v>
      </c>
      <c r="R19" s="167">
        <f t="shared" si="4"/>
        <v>0</v>
      </c>
      <c r="S19" s="167" t="e">
        <f t="shared" si="5"/>
        <v>#DIV/0!</v>
      </c>
      <c r="T19" s="133"/>
    </row>
    <row r="20" spans="3:20" s="39" customFormat="1" ht="116.25" customHeight="1">
      <c r="C20" s="35" t="s">
        <v>131</v>
      </c>
      <c r="D20" s="35" t="s">
        <v>423</v>
      </c>
      <c r="E20" s="35" t="s">
        <v>424</v>
      </c>
      <c r="F20" s="119" t="s">
        <v>189</v>
      </c>
      <c r="G20" s="37" t="s">
        <v>419</v>
      </c>
      <c r="H20" s="170">
        <v>43.9</v>
      </c>
      <c r="I20" s="170">
        <v>43.91518</v>
      </c>
      <c r="J20" s="167">
        <f t="shared" si="1"/>
        <v>100.03457858769931</v>
      </c>
      <c r="K20" s="170"/>
      <c r="L20" s="170"/>
      <c r="M20" s="170"/>
      <c r="N20" s="170"/>
      <c r="O20" s="167"/>
      <c r="P20" s="166">
        <f t="shared" si="2"/>
        <v>43.9</v>
      </c>
      <c r="Q20" s="166">
        <f t="shared" si="3"/>
        <v>43.91518</v>
      </c>
      <c r="R20" s="167">
        <f t="shared" si="4"/>
        <v>0.01518000000000086</v>
      </c>
      <c r="S20" s="167">
        <f t="shared" si="5"/>
        <v>100.03457858769931</v>
      </c>
      <c r="T20" s="133"/>
    </row>
    <row r="21" spans="3:20" s="7" customFormat="1" ht="43.5" customHeight="1" hidden="1">
      <c r="C21" s="32" t="s">
        <v>389</v>
      </c>
      <c r="D21" s="32" t="s">
        <v>428</v>
      </c>
      <c r="E21" s="32" t="s">
        <v>429</v>
      </c>
      <c r="F21" s="115" t="s">
        <v>43</v>
      </c>
      <c r="G21" s="42" t="s">
        <v>390</v>
      </c>
      <c r="H21" s="166"/>
      <c r="I21" s="166"/>
      <c r="J21" s="167" t="e">
        <f t="shared" si="1"/>
        <v>#DIV/0!</v>
      </c>
      <c r="K21" s="166"/>
      <c r="L21" s="166">
        <f>SUM(L22:L22)</f>
        <v>0</v>
      </c>
      <c r="M21" s="166"/>
      <c r="N21" s="166"/>
      <c r="O21" s="167" t="e">
        <f t="shared" si="6"/>
        <v>#DIV/0!</v>
      </c>
      <c r="P21" s="166">
        <f t="shared" si="2"/>
        <v>0</v>
      </c>
      <c r="Q21" s="166">
        <f t="shared" si="3"/>
        <v>0</v>
      </c>
      <c r="R21" s="167">
        <f t="shared" si="4"/>
        <v>0</v>
      </c>
      <c r="S21" s="167" t="e">
        <f t="shared" si="5"/>
        <v>#DIV/0!</v>
      </c>
      <c r="T21" s="129">
        <f>SUM(T22:T22)</f>
        <v>0</v>
      </c>
    </row>
    <row r="22" spans="3:20" s="7" customFormat="1" ht="84.75" customHeight="1" hidden="1">
      <c r="C22" s="32"/>
      <c r="D22" s="32"/>
      <c r="E22" s="32"/>
      <c r="F22" s="115"/>
      <c r="G22" s="52" t="s">
        <v>391</v>
      </c>
      <c r="H22" s="166"/>
      <c r="I22" s="166"/>
      <c r="J22" s="167" t="e">
        <f t="shared" si="1"/>
        <v>#DIV/0!</v>
      </c>
      <c r="K22" s="166"/>
      <c r="L22" s="166"/>
      <c r="M22" s="166"/>
      <c r="N22" s="166"/>
      <c r="O22" s="167" t="e">
        <f t="shared" si="6"/>
        <v>#DIV/0!</v>
      </c>
      <c r="P22" s="166">
        <f t="shared" si="2"/>
        <v>0</v>
      </c>
      <c r="Q22" s="166">
        <f t="shared" si="3"/>
        <v>0</v>
      </c>
      <c r="R22" s="167">
        <f t="shared" si="4"/>
        <v>0</v>
      </c>
      <c r="S22" s="167" t="e">
        <f t="shared" si="5"/>
        <v>#DIV/0!</v>
      </c>
      <c r="T22" s="129"/>
    </row>
    <row r="23" spans="2:20" s="18" customFormat="1" ht="30.75" customHeight="1" hidden="1">
      <c r="B23" s="18">
        <v>5</v>
      </c>
      <c r="C23" s="32" t="s">
        <v>36</v>
      </c>
      <c r="D23" s="32" t="s">
        <v>432</v>
      </c>
      <c r="E23" s="32" t="s">
        <v>433</v>
      </c>
      <c r="F23" s="115"/>
      <c r="G23" s="41" t="s">
        <v>39</v>
      </c>
      <c r="H23" s="166"/>
      <c r="I23" s="166"/>
      <c r="J23" s="167" t="e">
        <f t="shared" si="1"/>
        <v>#DIV/0!</v>
      </c>
      <c r="K23" s="166"/>
      <c r="L23" s="166"/>
      <c r="M23" s="166"/>
      <c r="N23" s="166"/>
      <c r="O23" s="167" t="e">
        <f t="shared" si="6"/>
        <v>#DIV/0!</v>
      </c>
      <c r="P23" s="166">
        <f t="shared" si="2"/>
        <v>0</v>
      </c>
      <c r="Q23" s="166">
        <f t="shared" si="3"/>
        <v>0</v>
      </c>
      <c r="R23" s="167">
        <f t="shared" si="4"/>
        <v>0</v>
      </c>
      <c r="S23" s="167" t="e">
        <f t="shared" si="5"/>
        <v>#DIV/0!</v>
      </c>
      <c r="T23" s="129">
        <f>T24</f>
        <v>0</v>
      </c>
    </row>
    <row r="24" spans="3:20" s="19" customFormat="1" ht="66" customHeight="1" hidden="1">
      <c r="C24" s="35" t="s">
        <v>35</v>
      </c>
      <c r="D24" s="35" t="s">
        <v>431</v>
      </c>
      <c r="E24" s="35" t="s">
        <v>433</v>
      </c>
      <c r="F24" s="119" t="s">
        <v>51</v>
      </c>
      <c r="G24" s="55" t="s">
        <v>434</v>
      </c>
      <c r="H24" s="170"/>
      <c r="I24" s="170"/>
      <c r="J24" s="167" t="e">
        <f t="shared" si="1"/>
        <v>#DIV/0!</v>
      </c>
      <c r="K24" s="170"/>
      <c r="L24" s="170"/>
      <c r="M24" s="170"/>
      <c r="N24" s="170"/>
      <c r="O24" s="167" t="e">
        <f t="shared" si="6"/>
        <v>#DIV/0!</v>
      </c>
      <c r="P24" s="166">
        <f t="shared" si="2"/>
        <v>0</v>
      </c>
      <c r="Q24" s="166">
        <f t="shared" si="3"/>
        <v>0</v>
      </c>
      <c r="R24" s="167">
        <f t="shared" si="4"/>
        <v>0</v>
      </c>
      <c r="S24" s="167" t="e">
        <f t="shared" si="5"/>
        <v>#DIV/0!</v>
      </c>
      <c r="T24" s="135"/>
    </row>
    <row r="25" spans="3:20" s="18" customFormat="1" ht="102" customHeight="1">
      <c r="C25" s="32" t="s">
        <v>331</v>
      </c>
      <c r="D25" s="32" t="s">
        <v>435</v>
      </c>
      <c r="E25" s="32" t="s">
        <v>420</v>
      </c>
      <c r="F25" s="115" t="s">
        <v>277</v>
      </c>
      <c r="G25" s="41" t="s">
        <v>740</v>
      </c>
      <c r="H25" s="166">
        <f>I25+L25</f>
        <v>0</v>
      </c>
      <c r="I25" s="166"/>
      <c r="J25" s="167" t="e">
        <f t="shared" si="1"/>
        <v>#DIV/0!</v>
      </c>
      <c r="K25" s="166">
        <v>20</v>
      </c>
      <c r="L25" s="166"/>
      <c r="M25" s="173">
        <v>20</v>
      </c>
      <c r="N25" s="173">
        <v>20</v>
      </c>
      <c r="O25" s="167">
        <f t="shared" si="6"/>
        <v>100</v>
      </c>
      <c r="P25" s="166">
        <f t="shared" si="2"/>
        <v>20</v>
      </c>
      <c r="Q25" s="166">
        <f t="shared" si="3"/>
        <v>20</v>
      </c>
      <c r="R25" s="167">
        <f t="shared" si="4"/>
        <v>0</v>
      </c>
      <c r="S25" s="167">
        <f t="shared" si="5"/>
        <v>100</v>
      </c>
      <c r="T25" s="129"/>
    </row>
    <row r="26" spans="3:20" s="7" customFormat="1" ht="22.5" customHeight="1" hidden="1">
      <c r="C26" s="32" t="s">
        <v>439</v>
      </c>
      <c r="D26" s="32" t="s">
        <v>440</v>
      </c>
      <c r="E26" s="32" t="s">
        <v>420</v>
      </c>
      <c r="F26" s="115" t="s">
        <v>10</v>
      </c>
      <c r="G26" s="33" t="s">
        <v>261</v>
      </c>
      <c r="H26" s="166">
        <f>I26+L26</f>
        <v>0</v>
      </c>
      <c r="I26" s="166"/>
      <c r="J26" s="167" t="e">
        <f t="shared" si="1"/>
        <v>#DIV/0!</v>
      </c>
      <c r="K26" s="166"/>
      <c r="L26" s="166"/>
      <c r="M26" s="166"/>
      <c r="N26" s="166"/>
      <c r="O26" s="167" t="e">
        <f t="shared" si="6"/>
        <v>#DIV/0!</v>
      </c>
      <c r="P26" s="166">
        <f t="shared" si="2"/>
        <v>0</v>
      </c>
      <c r="Q26" s="166">
        <f t="shared" si="3"/>
        <v>0</v>
      </c>
      <c r="R26" s="167">
        <f t="shared" si="4"/>
        <v>0</v>
      </c>
      <c r="S26" s="167" t="e">
        <f t="shared" si="5"/>
        <v>#DIV/0!</v>
      </c>
      <c r="T26" s="129"/>
    </row>
    <row r="27" spans="1:20" s="7" customFormat="1" ht="36.75" customHeight="1">
      <c r="A27" s="50">
        <v>9</v>
      </c>
      <c r="B27" s="7">
        <v>6</v>
      </c>
      <c r="C27" s="32" t="s">
        <v>135</v>
      </c>
      <c r="D27" s="32" t="s">
        <v>436</v>
      </c>
      <c r="E27" s="32" t="s">
        <v>458</v>
      </c>
      <c r="F27" s="115" t="s">
        <v>197</v>
      </c>
      <c r="G27" s="43" t="s">
        <v>90</v>
      </c>
      <c r="H27" s="166">
        <f>SUM(H28:H29)</f>
        <v>124.9</v>
      </c>
      <c r="I27" s="166">
        <f>SUM(I28:I29)</f>
        <v>108.7</v>
      </c>
      <c r="J27" s="167">
        <f t="shared" si="1"/>
        <v>87.02962369895917</v>
      </c>
      <c r="K27" s="166"/>
      <c r="L27" s="166">
        <f>SUM(L28:L29)</f>
        <v>0</v>
      </c>
      <c r="M27" s="166"/>
      <c r="N27" s="166"/>
      <c r="O27" s="167"/>
      <c r="P27" s="166">
        <f t="shared" si="2"/>
        <v>124.9</v>
      </c>
      <c r="Q27" s="166">
        <f t="shared" si="3"/>
        <v>108.7</v>
      </c>
      <c r="R27" s="167">
        <f t="shared" si="4"/>
        <v>-16.200000000000003</v>
      </c>
      <c r="S27" s="167">
        <f t="shared" si="5"/>
        <v>87.02962369895917</v>
      </c>
      <c r="T27" s="129">
        <f>SUM(T28:T29)</f>
        <v>0</v>
      </c>
    </row>
    <row r="28" spans="3:20" s="39" customFormat="1" ht="36" customHeight="1">
      <c r="C28" s="35" t="s">
        <v>206</v>
      </c>
      <c r="D28" s="35" t="s">
        <v>437</v>
      </c>
      <c r="E28" s="32"/>
      <c r="F28" s="120"/>
      <c r="G28" s="37" t="s">
        <v>413</v>
      </c>
      <c r="H28" s="170">
        <v>109.9</v>
      </c>
      <c r="I28" s="170">
        <v>93.9</v>
      </c>
      <c r="J28" s="167">
        <f t="shared" si="1"/>
        <v>85.44131028207461</v>
      </c>
      <c r="K28" s="170"/>
      <c r="L28" s="170"/>
      <c r="M28" s="170"/>
      <c r="N28" s="170"/>
      <c r="O28" s="167"/>
      <c r="P28" s="166">
        <f t="shared" si="2"/>
        <v>109.9</v>
      </c>
      <c r="Q28" s="166">
        <f t="shared" si="3"/>
        <v>93.9</v>
      </c>
      <c r="R28" s="167">
        <f t="shared" si="4"/>
        <v>-16</v>
      </c>
      <c r="S28" s="167">
        <f t="shared" si="5"/>
        <v>85.44131028207461</v>
      </c>
      <c r="T28" s="133"/>
    </row>
    <row r="29" spans="3:21" s="7" customFormat="1" ht="46.5" customHeight="1">
      <c r="C29" s="35" t="s">
        <v>392</v>
      </c>
      <c r="D29" s="35" t="s">
        <v>438</v>
      </c>
      <c r="E29" s="32"/>
      <c r="F29" s="115"/>
      <c r="G29" s="37" t="s">
        <v>414</v>
      </c>
      <c r="H29" s="170">
        <v>15</v>
      </c>
      <c r="I29" s="170">
        <v>14.8</v>
      </c>
      <c r="J29" s="167">
        <f t="shared" si="1"/>
        <v>98.66666666666667</v>
      </c>
      <c r="K29" s="170"/>
      <c r="L29" s="170"/>
      <c r="M29" s="170"/>
      <c r="N29" s="170"/>
      <c r="O29" s="167"/>
      <c r="P29" s="166">
        <f t="shared" si="2"/>
        <v>15</v>
      </c>
      <c r="Q29" s="166">
        <f t="shared" si="3"/>
        <v>14.8</v>
      </c>
      <c r="R29" s="167">
        <f t="shared" si="4"/>
        <v>-0.1999999999999993</v>
      </c>
      <c r="S29" s="167">
        <f t="shared" si="5"/>
        <v>98.66666666666667</v>
      </c>
      <c r="T29" s="133"/>
      <c r="U29" s="22"/>
    </row>
    <row r="30" spans="3:23" s="7" customFormat="1" ht="31.5" customHeight="1">
      <c r="C30" s="32"/>
      <c r="D30" s="32"/>
      <c r="E30" s="32"/>
      <c r="F30" s="115"/>
      <c r="G30" s="48" t="s">
        <v>137</v>
      </c>
      <c r="H30" s="174">
        <f aca="true" t="shared" si="7" ref="H30:N30">H14+H18+H17+H23+H27+H26+H25+H21</f>
        <v>10873.699999999999</v>
      </c>
      <c r="I30" s="174">
        <f>I14+I18+I17+I23+I27+I26+I25+I21</f>
        <v>8532.415180000002</v>
      </c>
      <c r="J30" s="175">
        <f t="shared" si="1"/>
        <v>78.46837028794249</v>
      </c>
      <c r="K30" s="174">
        <f>K14+K18+K17+K23+K27+K26+K25+K21</f>
        <v>916.5</v>
      </c>
      <c r="L30" s="174">
        <f t="shared" si="7"/>
        <v>0</v>
      </c>
      <c r="M30" s="174">
        <f t="shared" si="7"/>
        <v>83.4</v>
      </c>
      <c r="N30" s="174">
        <f t="shared" si="7"/>
        <v>83.4</v>
      </c>
      <c r="O30" s="175">
        <f>M30/K30*100</f>
        <v>9.099836333878887</v>
      </c>
      <c r="P30" s="174">
        <f>H30+K30</f>
        <v>11790.199999999999</v>
      </c>
      <c r="Q30" s="174">
        <f>I30+M30</f>
        <v>8615.815180000001</v>
      </c>
      <c r="R30" s="175">
        <f>R14+R17+R18+R27</f>
        <v>-3174.3848199999984</v>
      </c>
      <c r="S30" s="175">
        <f>Q30/P30*100</f>
        <v>73.07607317942022</v>
      </c>
      <c r="T30" s="63">
        <f>T14+T18+T17+T23+T27+T26+T25+T21</f>
        <v>886</v>
      </c>
      <c r="U30" s="22"/>
      <c r="V30" s="22"/>
      <c r="W30" s="22"/>
    </row>
    <row r="31" spans="3:21" s="7" customFormat="1" ht="45.75" customHeight="1">
      <c r="C31" s="30" t="s">
        <v>139</v>
      </c>
      <c r="D31" s="30"/>
      <c r="E31" s="30"/>
      <c r="F31" s="121" t="s">
        <v>49</v>
      </c>
      <c r="G31" s="85" t="s">
        <v>400</v>
      </c>
      <c r="H31" s="166"/>
      <c r="I31" s="166"/>
      <c r="J31" s="167"/>
      <c r="K31" s="166"/>
      <c r="L31" s="166"/>
      <c r="M31" s="166"/>
      <c r="N31" s="166"/>
      <c r="O31" s="167"/>
      <c r="P31" s="166"/>
      <c r="Q31" s="166"/>
      <c r="R31" s="167"/>
      <c r="S31" s="167"/>
      <c r="T31" s="129"/>
      <c r="U31" s="22"/>
    </row>
    <row r="32" spans="3:20" s="7" customFormat="1" ht="45.75" customHeight="1">
      <c r="C32" s="151" t="s">
        <v>140</v>
      </c>
      <c r="D32" s="30"/>
      <c r="E32" s="30"/>
      <c r="F32" s="121" t="s">
        <v>49</v>
      </c>
      <c r="G32" s="31" t="s">
        <v>399</v>
      </c>
      <c r="H32" s="166"/>
      <c r="I32" s="166"/>
      <c r="J32" s="167"/>
      <c r="K32" s="166"/>
      <c r="L32" s="166"/>
      <c r="M32" s="166"/>
      <c r="N32" s="166"/>
      <c r="O32" s="167"/>
      <c r="P32" s="166"/>
      <c r="Q32" s="166"/>
      <c r="R32" s="167"/>
      <c r="S32" s="167"/>
      <c r="T32" s="129"/>
    </row>
    <row r="33" spans="1:20" s="7" customFormat="1" ht="81.75" customHeight="1">
      <c r="A33" s="7">
        <v>2</v>
      </c>
      <c r="B33" s="7">
        <v>7</v>
      </c>
      <c r="C33" s="32" t="s">
        <v>295</v>
      </c>
      <c r="D33" s="32" t="s">
        <v>420</v>
      </c>
      <c r="E33" s="32" t="s">
        <v>421</v>
      </c>
      <c r="F33" s="115" t="s">
        <v>196</v>
      </c>
      <c r="G33" s="43" t="s">
        <v>601</v>
      </c>
      <c r="H33" s="168">
        <v>1396.6</v>
      </c>
      <c r="I33" s="168">
        <v>1330.2</v>
      </c>
      <c r="J33" s="176">
        <f>I33/H33*100</f>
        <v>95.24559644851783</v>
      </c>
      <c r="K33" s="168"/>
      <c r="L33" s="168"/>
      <c r="M33" s="173"/>
      <c r="N33" s="173"/>
      <c r="O33" s="176"/>
      <c r="P33" s="168">
        <f>H33+K33</f>
        <v>1396.6</v>
      </c>
      <c r="Q33" s="168">
        <f>I33+M33</f>
        <v>1330.2</v>
      </c>
      <c r="R33" s="167">
        <f>Q33-P33</f>
        <v>-66.39999999999986</v>
      </c>
      <c r="S33" s="176">
        <f>Q33/P33*100</f>
        <v>95.24559644851783</v>
      </c>
      <c r="T33" s="130"/>
    </row>
    <row r="34" spans="3:20" s="7" customFormat="1" ht="33.75" customHeight="1">
      <c r="C34" s="32" t="s">
        <v>53</v>
      </c>
      <c r="D34" s="32" t="s">
        <v>441</v>
      </c>
      <c r="E34" s="32" t="s">
        <v>442</v>
      </c>
      <c r="F34" s="115" t="s">
        <v>228</v>
      </c>
      <c r="G34" s="33" t="s">
        <v>182</v>
      </c>
      <c r="H34" s="168">
        <f>SUM(H35:H36)</f>
        <v>41950.9</v>
      </c>
      <c r="I34" s="168">
        <f>SUM(I35:I36)</f>
        <v>30509.2</v>
      </c>
      <c r="J34" s="176">
        <f aca="true" t="shared" si="8" ref="J34:J64">I34/H34*100</f>
        <v>72.72597250595338</v>
      </c>
      <c r="K34" s="168">
        <f>K35+K36</f>
        <v>3981.4</v>
      </c>
      <c r="L34" s="168">
        <f>L35+L36</f>
        <v>0</v>
      </c>
      <c r="M34" s="168">
        <f>M35+M36</f>
        <v>2871.2</v>
      </c>
      <c r="N34" s="168">
        <f>N35+N36</f>
        <v>0</v>
      </c>
      <c r="O34" s="176">
        <f>M34/K34*100</f>
        <v>72.11533631385943</v>
      </c>
      <c r="P34" s="168">
        <f aca="true" t="shared" si="9" ref="P34:P56">H34+K34</f>
        <v>45932.3</v>
      </c>
      <c r="Q34" s="168">
        <f aca="true" t="shared" si="10" ref="Q34:Q56">I34+M34</f>
        <v>33380.4</v>
      </c>
      <c r="R34" s="167">
        <f aca="true" t="shared" si="11" ref="R34:R56">Q34-P34</f>
        <v>-12551.900000000001</v>
      </c>
      <c r="S34" s="176">
        <f aca="true" t="shared" si="12" ref="S34:S56">Q34/P34*100</f>
        <v>72.67304271721642</v>
      </c>
      <c r="T34" s="148">
        <f>SUM(T35:T36)</f>
        <v>0</v>
      </c>
    </row>
    <row r="35" spans="1:20" s="39" customFormat="1" ht="26.25" customHeight="1">
      <c r="A35" s="39">
        <v>1</v>
      </c>
      <c r="B35" s="39">
        <v>8</v>
      </c>
      <c r="C35" s="35"/>
      <c r="D35" s="35"/>
      <c r="E35" s="35"/>
      <c r="F35" s="119"/>
      <c r="G35" s="45" t="s">
        <v>394</v>
      </c>
      <c r="H35" s="177">
        <v>41939.6</v>
      </c>
      <c r="I35" s="178">
        <v>30509.2</v>
      </c>
      <c r="J35" s="176">
        <f t="shared" si="8"/>
        <v>72.7455674350733</v>
      </c>
      <c r="K35" s="168">
        <f>3492.8+421.5</f>
        <v>3914.3</v>
      </c>
      <c r="L35" s="170"/>
      <c r="M35" s="170">
        <f>2450.7+420.5</f>
        <v>2871.2</v>
      </c>
      <c r="N35" s="170">
        <v>0</v>
      </c>
      <c r="O35" s="176">
        <f aca="true" t="shared" si="13" ref="O35:O46">M35/K35*100</f>
        <v>73.35155711110542</v>
      </c>
      <c r="P35" s="168">
        <f t="shared" si="9"/>
        <v>45853.9</v>
      </c>
      <c r="Q35" s="168">
        <f t="shared" si="10"/>
        <v>33380.4</v>
      </c>
      <c r="R35" s="167">
        <f t="shared" si="11"/>
        <v>-12473.5</v>
      </c>
      <c r="S35" s="176">
        <f t="shared" si="12"/>
        <v>72.79729750359294</v>
      </c>
      <c r="T35" s="137"/>
    </row>
    <row r="36" spans="3:20" s="39" customFormat="1" ht="79.5" customHeight="1">
      <c r="C36" s="35"/>
      <c r="D36" s="35"/>
      <c r="E36" s="35"/>
      <c r="F36" s="119"/>
      <c r="G36" s="45" t="s">
        <v>729</v>
      </c>
      <c r="H36" s="177">
        <v>11.3</v>
      </c>
      <c r="I36" s="178"/>
      <c r="J36" s="176">
        <f t="shared" si="8"/>
        <v>0</v>
      </c>
      <c r="K36" s="170">
        <v>67.1</v>
      </c>
      <c r="L36" s="170"/>
      <c r="M36" s="170"/>
      <c r="N36" s="170"/>
      <c r="O36" s="176">
        <f t="shared" si="13"/>
        <v>0</v>
      </c>
      <c r="P36" s="168">
        <f t="shared" si="9"/>
        <v>78.39999999999999</v>
      </c>
      <c r="Q36" s="168">
        <f t="shared" si="10"/>
        <v>0</v>
      </c>
      <c r="R36" s="167">
        <f t="shared" si="11"/>
        <v>-78.39999999999999</v>
      </c>
      <c r="S36" s="176">
        <f t="shared" si="12"/>
        <v>0</v>
      </c>
      <c r="T36" s="137"/>
    </row>
    <row r="37" spans="1:20" s="18" customFormat="1" ht="99.75" customHeight="1">
      <c r="A37" s="18">
        <v>2</v>
      </c>
      <c r="B37" s="18">
        <v>9</v>
      </c>
      <c r="C37" s="32" t="s">
        <v>54</v>
      </c>
      <c r="D37" s="32" t="s">
        <v>444</v>
      </c>
      <c r="E37" s="32" t="s">
        <v>445</v>
      </c>
      <c r="F37" s="115" t="s">
        <v>229</v>
      </c>
      <c r="G37" s="43" t="s">
        <v>443</v>
      </c>
      <c r="H37" s="166">
        <f>H38+H41+H44+H43+H39+H40</f>
        <v>64169.61399</v>
      </c>
      <c r="I37" s="166">
        <f>I38+I41+I44+I43+I39+I40</f>
        <v>46860.91399</v>
      </c>
      <c r="J37" s="176">
        <f t="shared" si="8"/>
        <v>73.02664154611038</v>
      </c>
      <c r="K37" s="166">
        <f>K38+K41+K44+K40+K39</f>
        <v>2477.2</v>
      </c>
      <c r="L37" s="166">
        <f>L38+L41+L44+L40+L39</f>
        <v>0</v>
      </c>
      <c r="M37" s="166">
        <f>M38+M41+M44+M40+M39</f>
        <v>1842.2</v>
      </c>
      <c r="N37" s="166">
        <f>N38+N41+N44+N40+N39</f>
        <v>113.9</v>
      </c>
      <c r="O37" s="176">
        <f t="shared" si="13"/>
        <v>74.3662199257226</v>
      </c>
      <c r="P37" s="168">
        <f t="shared" si="9"/>
        <v>66646.81399</v>
      </c>
      <c r="Q37" s="168">
        <f t="shared" si="10"/>
        <v>48703.11399</v>
      </c>
      <c r="R37" s="167">
        <f t="shared" si="11"/>
        <v>-17943.699999999997</v>
      </c>
      <c r="S37" s="176">
        <f t="shared" si="12"/>
        <v>73.07643242677383</v>
      </c>
      <c r="T37" s="129">
        <f>SUM(T38:T44)</f>
        <v>141.49</v>
      </c>
    </row>
    <row r="38" spans="3:20" s="19" customFormat="1" ht="33" customHeight="1">
      <c r="C38" s="35"/>
      <c r="D38" s="35"/>
      <c r="E38" s="35"/>
      <c r="F38" s="119"/>
      <c r="G38" s="37" t="s">
        <v>290</v>
      </c>
      <c r="H38" s="170">
        <f>38850.1-0.3</f>
        <v>38849.799999999996</v>
      </c>
      <c r="I38" s="170">
        <f>29104.9-0.3</f>
        <v>29104.600000000002</v>
      </c>
      <c r="J38" s="176">
        <f t="shared" si="8"/>
        <v>74.91570098172964</v>
      </c>
      <c r="K38" s="170"/>
      <c r="L38" s="170"/>
      <c r="M38" s="166"/>
      <c r="N38" s="166"/>
      <c r="O38" s="176"/>
      <c r="P38" s="168">
        <f t="shared" si="9"/>
        <v>38849.799999999996</v>
      </c>
      <c r="Q38" s="168">
        <f t="shared" si="10"/>
        <v>29104.600000000002</v>
      </c>
      <c r="R38" s="167">
        <f t="shared" si="11"/>
        <v>-9745.199999999993</v>
      </c>
      <c r="S38" s="176">
        <f t="shared" si="12"/>
        <v>74.91570098172964</v>
      </c>
      <c r="T38" s="133"/>
    </row>
    <row r="39" spans="3:20" s="19" customFormat="1" ht="75" customHeight="1">
      <c r="C39" s="35"/>
      <c r="D39" s="35"/>
      <c r="E39" s="35"/>
      <c r="F39" s="119"/>
      <c r="G39" s="37" t="s">
        <v>730</v>
      </c>
      <c r="H39" s="170">
        <v>98.9</v>
      </c>
      <c r="I39" s="170">
        <v>70</v>
      </c>
      <c r="J39" s="176">
        <f t="shared" si="8"/>
        <v>70.77856420626895</v>
      </c>
      <c r="K39" s="170">
        <v>21.1</v>
      </c>
      <c r="L39" s="170"/>
      <c r="M39" s="166"/>
      <c r="N39" s="166"/>
      <c r="O39" s="176">
        <f t="shared" si="13"/>
        <v>0</v>
      </c>
      <c r="P39" s="168">
        <f t="shared" si="9"/>
        <v>120</v>
      </c>
      <c r="Q39" s="168">
        <f t="shared" si="10"/>
        <v>70</v>
      </c>
      <c r="R39" s="167">
        <f t="shared" si="11"/>
        <v>-50</v>
      </c>
      <c r="S39" s="176">
        <f t="shared" si="12"/>
        <v>58.333333333333336</v>
      </c>
      <c r="T39" s="137"/>
    </row>
    <row r="40" spans="3:20" s="19" customFormat="1" ht="62.25" customHeight="1">
      <c r="C40" s="35"/>
      <c r="D40" s="35"/>
      <c r="E40" s="35"/>
      <c r="F40" s="119"/>
      <c r="G40" s="37" t="s">
        <v>632</v>
      </c>
      <c r="H40" s="170">
        <v>46.9</v>
      </c>
      <c r="I40" s="170">
        <v>40.9</v>
      </c>
      <c r="J40" s="176">
        <f t="shared" si="8"/>
        <v>87.20682302771856</v>
      </c>
      <c r="K40" s="170">
        <v>70</v>
      </c>
      <c r="L40" s="170"/>
      <c r="M40" s="166">
        <v>40</v>
      </c>
      <c r="N40" s="166">
        <v>40</v>
      </c>
      <c r="O40" s="176">
        <f t="shared" si="13"/>
        <v>57.14285714285714</v>
      </c>
      <c r="P40" s="168">
        <f t="shared" si="9"/>
        <v>116.9</v>
      </c>
      <c r="Q40" s="168">
        <f t="shared" si="10"/>
        <v>80.9</v>
      </c>
      <c r="R40" s="167">
        <f t="shared" si="11"/>
        <v>-36</v>
      </c>
      <c r="S40" s="176">
        <f t="shared" si="12"/>
        <v>69.20444824636441</v>
      </c>
      <c r="T40" s="137"/>
    </row>
    <row r="41" spans="3:20" s="19" customFormat="1" ht="72" customHeight="1">
      <c r="C41" s="35"/>
      <c r="D41" s="35"/>
      <c r="E41" s="35"/>
      <c r="F41" s="119"/>
      <c r="G41" s="37" t="s">
        <v>365</v>
      </c>
      <c r="H41" s="170">
        <v>0.31399</v>
      </c>
      <c r="I41" s="170">
        <v>0.31399</v>
      </c>
      <c r="J41" s="176">
        <f t="shared" si="8"/>
        <v>100</v>
      </c>
      <c r="K41" s="170"/>
      <c r="L41" s="170"/>
      <c r="M41" s="166"/>
      <c r="N41" s="166"/>
      <c r="O41" s="176"/>
      <c r="P41" s="168">
        <f t="shared" si="9"/>
        <v>0.31399</v>
      </c>
      <c r="Q41" s="168">
        <f t="shared" si="10"/>
        <v>0.31399</v>
      </c>
      <c r="R41" s="167">
        <f t="shared" si="11"/>
        <v>0</v>
      </c>
      <c r="S41" s="176">
        <f t="shared" si="12"/>
        <v>100</v>
      </c>
      <c r="T41" s="137"/>
    </row>
    <row r="42" spans="3:20" s="19" customFormat="1" ht="49.5" customHeight="1" hidden="1">
      <c r="C42" s="35"/>
      <c r="D42" s="35"/>
      <c r="E42" s="35"/>
      <c r="F42" s="119"/>
      <c r="G42" s="37" t="s">
        <v>393</v>
      </c>
      <c r="H42" s="170">
        <f>I42+L42</f>
        <v>0</v>
      </c>
      <c r="I42" s="170"/>
      <c r="J42" s="176" t="e">
        <f t="shared" si="8"/>
        <v>#DIV/0!</v>
      </c>
      <c r="K42" s="170"/>
      <c r="L42" s="170"/>
      <c r="M42" s="166"/>
      <c r="N42" s="166"/>
      <c r="O42" s="176" t="e">
        <f t="shared" si="13"/>
        <v>#DIV/0!</v>
      </c>
      <c r="P42" s="168">
        <f t="shared" si="9"/>
        <v>0</v>
      </c>
      <c r="Q42" s="168">
        <f t="shared" si="10"/>
        <v>0</v>
      </c>
      <c r="R42" s="167">
        <f t="shared" si="11"/>
        <v>0</v>
      </c>
      <c r="S42" s="176" t="e">
        <f t="shared" si="12"/>
        <v>#DIV/0!</v>
      </c>
      <c r="T42" s="137"/>
    </row>
    <row r="43" spans="3:20" s="19" customFormat="1" ht="56.25">
      <c r="C43" s="35"/>
      <c r="D43" s="35"/>
      <c r="E43" s="35"/>
      <c r="F43" s="119"/>
      <c r="G43" s="37" t="s">
        <v>705</v>
      </c>
      <c r="H43" s="219">
        <v>45</v>
      </c>
      <c r="I43" s="219">
        <v>5.2</v>
      </c>
      <c r="J43" s="189">
        <f t="shared" si="8"/>
        <v>11.555555555555557</v>
      </c>
      <c r="K43" s="38"/>
      <c r="L43" s="217"/>
      <c r="M43" s="14"/>
      <c r="N43" s="56"/>
      <c r="O43" s="218"/>
      <c r="P43" s="168">
        <f t="shared" si="9"/>
        <v>45</v>
      </c>
      <c r="Q43" s="168">
        <f t="shared" si="10"/>
        <v>5.2</v>
      </c>
      <c r="R43" s="167">
        <f t="shared" si="11"/>
        <v>-39.8</v>
      </c>
      <c r="S43" s="176">
        <f t="shared" si="12"/>
        <v>11.555555555555557</v>
      </c>
      <c r="T43" s="38">
        <f>H43+M43</f>
        <v>45</v>
      </c>
    </row>
    <row r="44" spans="3:20" s="19" customFormat="1" ht="27.75" customHeight="1">
      <c r="C44" s="35"/>
      <c r="D44" s="35"/>
      <c r="E44" s="35"/>
      <c r="F44" s="119"/>
      <c r="G44" s="37" t="s">
        <v>330</v>
      </c>
      <c r="H44" s="170">
        <v>25128.7</v>
      </c>
      <c r="I44" s="170">
        <f>17603.5+36.4</f>
        <v>17639.9</v>
      </c>
      <c r="J44" s="176">
        <f t="shared" si="8"/>
        <v>70.1982195656759</v>
      </c>
      <c r="K44" s="170">
        <f>2202+110.2+73.9</f>
        <v>2386.1</v>
      </c>
      <c r="L44" s="170"/>
      <c r="M44" s="166">
        <f>73.9+1618.2+110.1</f>
        <v>1802.2</v>
      </c>
      <c r="N44" s="166">
        <v>73.9</v>
      </c>
      <c r="O44" s="176">
        <f t="shared" si="13"/>
        <v>75.5291060726709</v>
      </c>
      <c r="P44" s="168">
        <f t="shared" si="9"/>
        <v>27514.8</v>
      </c>
      <c r="Q44" s="168">
        <f t="shared" si="10"/>
        <v>19442.100000000002</v>
      </c>
      <c r="R44" s="167">
        <f t="shared" si="11"/>
        <v>-8072.699999999997</v>
      </c>
      <c r="S44" s="176">
        <f t="shared" si="12"/>
        <v>70.66051724889878</v>
      </c>
      <c r="T44" s="98">
        <f>120-23.51</f>
        <v>96.49</v>
      </c>
    </row>
    <row r="45" spans="3:20" s="19" customFormat="1" ht="34.5" customHeight="1" hidden="1">
      <c r="C45" s="35"/>
      <c r="D45" s="35"/>
      <c r="E45" s="35"/>
      <c r="F45" s="119"/>
      <c r="G45" s="37" t="s">
        <v>291</v>
      </c>
      <c r="H45" s="170"/>
      <c r="I45" s="170"/>
      <c r="J45" s="176" t="e">
        <f t="shared" si="8"/>
        <v>#DIV/0!</v>
      </c>
      <c r="K45" s="170"/>
      <c r="L45" s="170"/>
      <c r="M45" s="166"/>
      <c r="N45" s="166"/>
      <c r="O45" s="176" t="e">
        <f t="shared" si="13"/>
        <v>#DIV/0!</v>
      </c>
      <c r="P45" s="168">
        <f t="shared" si="9"/>
        <v>0</v>
      </c>
      <c r="Q45" s="168">
        <f t="shared" si="10"/>
        <v>0</v>
      </c>
      <c r="R45" s="167">
        <f t="shared" si="11"/>
        <v>0</v>
      </c>
      <c r="S45" s="176" t="e">
        <f t="shared" si="12"/>
        <v>#DIV/0!</v>
      </c>
      <c r="T45" s="137"/>
    </row>
    <row r="46" spans="1:20" s="7" customFormat="1" ht="49.5" customHeight="1">
      <c r="A46" s="7">
        <v>3</v>
      </c>
      <c r="B46" s="7">
        <v>10</v>
      </c>
      <c r="C46" s="5" t="s">
        <v>262</v>
      </c>
      <c r="D46" s="5" t="s">
        <v>446</v>
      </c>
      <c r="E46" s="5" t="s">
        <v>447</v>
      </c>
      <c r="F46" s="115" t="s">
        <v>230</v>
      </c>
      <c r="G46" s="43" t="s">
        <v>55</v>
      </c>
      <c r="H46" s="166">
        <v>6425.6</v>
      </c>
      <c r="I46" s="179">
        <v>4412.8</v>
      </c>
      <c r="J46" s="176">
        <f t="shared" si="8"/>
        <v>68.67529880478087</v>
      </c>
      <c r="K46" s="166">
        <f>21+15</f>
        <v>36</v>
      </c>
      <c r="L46" s="166"/>
      <c r="M46" s="166">
        <f>9.9+15</f>
        <v>24.9</v>
      </c>
      <c r="N46" s="166">
        <v>0</v>
      </c>
      <c r="O46" s="176">
        <f t="shared" si="13"/>
        <v>69.16666666666667</v>
      </c>
      <c r="P46" s="168">
        <f t="shared" si="9"/>
        <v>6461.6</v>
      </c>
      <c r="Q46" s="168">
        <f t="shared" si="10"/>
        <v>4437.7</v>
      </c>
      <c r="R46" s="167">
        <f t="shared" si="11"/>
        <v>-2023.9000000000005</v>
      </c>
      <c r="S46" s="176">
        <f t="shared" si="12"/>
        <v>68.67803639965334</v>
      </c>
      <c r="T46" s="130"/>
    </row>
    <row r="47" spans="3:21" s="7" customFormat="1" ht="45" customHeight="1" hidden="1">
      <c r="C47" s="5" t="s">
        <v>320</v>
      </c>
      <c r="D47" s="5"/>
      <c r="E47" s="5"/>
      <c r="F47" s="115" t="s">
        <v>317</v>
      </c>
      <c r="G47" s="43" t="s">
        <v>321</v>
      </c>
      <c r="H47" s="166">
        <f>I47+L47</f>
        <v>0</v>
      </c>
      <c r="I47" s="179"/>
      <c r="J47" s="176" t="e">
        <f t="shared" si="8"/>
        <v>#DIV/0!</v>
      </c>
      <c r="K47" s="166"/>
      <c r="L47" s="166"/>
      <c r="M47" s="166"/>
      <c r="N47" s="166"/>
      <c r="O47" s="176"/>
      <c r="P47" s="168">
        <f t="shared" si="9"/>
        <v>0</v>
      </c>
      <c r="Q47" s="168">
        <f t="shared" si="10"/>
        <v>0</v>
      </c>
      <c r="R47" s="167">
        <f t="shared" si="11"/>
        <v>0</v>
      </c>
      <c r="S47" s="176" t="e">
        <f t="shared" si="12"/>
        <v>#DIV/0!</v>
      </c>
      <c r="T47" s="130"/>
      <c r="U47" s="22"/>
    </row>
    <row r="48" spans="1:20" s="7" customFormat="1" ht="46.5" customHeight="1">
      <c r="A48" s="7">
        <v>4</v>
      </c>
      <c r="B48" s="7">
        <v>11</v>
      </c>
      <c r="C48" s="32">
        <v>1011170</v>
      </c>
      <c r="D48" s="32" t="s">
        <v>448</v>
      </c>
      <c r="E48" s="32" t="s">
        <v>449</v>
      </c>
      <c r="F48" s="115" t="s">
        <v>231</v>
      </c>
      <c r="G48" s="43" t="s">
        <v>56</v>
      </c>
      <c r="H48" s="166">
        <v>1448.5</v>
      </c>
      <c r="I48" s="166">
        <v>984.1</v>
      </c>
      <c r="J48" s="176">
        <f t="shared" si="8"/>
        <v>67.93924749741112</v>
      </c>
      <c r="K48" s="166"/>
      <c r="L48" s="166"/>
      <c r="M48" s="166"/>
      <c r="N48" s="166"/>
      <c r="O48" s="176"/>
      <c r="P48" s="168">
        <f t="shared" si="9"/>
        <v>1448.5</v>
      </c>
      <c r="Q48" s="168">
        <f t="shared" si="10"/>
        <v>984.1</v>
      </c>
      <c r="R48" s="167">
        <f t="shared" si="11"/>
        <v>-464.4</v>
      </c>
      <c r="S48" s="176">
        <f t="shared" si="12"/>
        <v>67.93924749741112</v>
      </c>
      <c r="T48" s="130"/>
    </row>
    <row r="49" spans="1:20" s="7" customFormat="1" ht="32.25" customHeight="1">
      <c r="A49" s="7">
        <v>5</v>
      </c>
      <c r="B49" s="7">
        <v>12</v>
      </c>
      <c r="C49" s="32">
        <v>1011190</v>
      </c>
      <c r="D49" s="32" t="s">
        <v>450</v>
      </c>
      <c r="E49" s="32" t="s">
        <v>449</v>
      </c>
      <c r="F49" s="115" t="s">
        <v>232</v>
      </c>
      <c r="G49" s="43" t="s">
        <v>57</v>
      </c>
      <c r="H49" s="179">
        <v>2041.4</v>
      </c>
      <c r="I49" s="179">
        <v>1577.1</v>
      </c>
      <c r="J49" s="176">
        <f t="shared" si="8"/>
        <v>77.2558048398158</v>
      </c>
      <c r="K49" s="166"/>
      <c r="L49" s="166"/>
      <c r="M49" s="166"/>
      <c r="N49" s="166"/>
      <c r="O49" s="176"/>
      <c r="P49" s="168">
        <f t="shared" si="9"/>
        <v>2041.4</v>
      </c>
      <c r="Q49" s="168">
        <f t="shared" si="10"/>
        <v>1577.1</v>
      </c>
      <c r="R49" s="167">
        <f t="shared" si="11"/>
        <v>-464.3000000000002</v>
      </c>
      <c r="S49" s="176">
        <f t="shared" si="12"/>
        <v>77.2558048398158</v>
      </c>
      <c r="T49" s="130"/>
    </row>
    <row r="50" spans="1:20" s="7" customFormat="1" ht="42.75" customHeight="1">
      <c r="A50" s="7">
        <v>6</v>
      </c>
      <c r="B50" s="7">
        <v>13</v>
      </c>
      <c r="C50" s="32">
        <v>1011200</v>
      </c>
      <c r="D50" s="32" t="s">
        <v>451</v>
      </c>
      <c r="E50" s="32" t="s">
        <v>449</v>
      </c>
      <c r="F50" s="115" t="s">
        <v>233</v>
      </c>
      <c r="G50" s="43" t="s">
        <v>180</v>
      </c>
      <c r="H50" s="179">
        <v>1589.1</v>
      </c>
      <c r="I50" s="179">
        <v>1192.1</v>
      </c>
      <c r="J50" s="176">
        <f t="shared" si="8"/>
        <v>75.01730539298974</v>
      </c>
      <c r="K50" s="166">
        <f>3.6</f>
        <v>3.6</v>
      </c>
      <c r="L50" s="166"/>
      <c r="M50" s="166">
        <v>3.6</v>
      </c>
      <c r="N50" s="166">
        <v>0</v>
      </c>
      <c r="O50" s="176">
        <f>M50/K50*100</f>
        <v>100</v>
      </c>
      <c r="P50" s="168">
        <f t="shared" si="9"/>
        <v>1592.6999999999998</v>
      </c>
      <c r="Q50" s="168">
        <f t="shared" si="10"/>
        <v>1195.6999999999998</v>
      </c>
      <c r="R50" s="167">
        <f t="shared" si="11"/>
        <v>-397</v>
      </c>
      <c r="S50" s="176">
        <f t="shared" si="12"/>
        <v>75.07377409430526</v>
      </c>
      <c r="T50" s="132"/>
    </row>
    <row r="51" spans="1:20" s="7" customFormat="1" ht="32.25" customHeight="1">
      <c r="A51" s="7">
        <v>7</v>
      </c>
      <c r="B51" s="7">
        <v>14</v>
      </c>
      <c r="C51" s="32">
        <v>1011210</v>
      </c>
      <c r="D51" s="32" t="s">
        <v>452</v>
      </c>
      <c r="E51" s="32" t="s">
        <v>449</v>
      </c>
      <c r="F51" s="115" t="s">
        <v>234</v>
      </c>
      <c r="G51" s="43" t="s">
        <v>58</v>
      </c>
      <c r="H51" s="179">
        <v>1963.6</v>
      </c>
      <c r="I51" s="179">
        <v>1329.7</v>
      </c>
      <c r="J51" s="176">
        <f t="shared" si="8"/>
        <v>67.71745773069873</v>
      </c>
      <c r="K51" s="166">
        <v>3.64</v>
      </c>
      <c r="L51" s="166"/>
      <c r="M51" s="166">
        <v>3.58454</v>
      </c>
      <c r="N51" s="166">
        <v>0</v>
      </c>
      <c r="O51" s="176">
        <f>M51/K51*100</f>
        <v>98.47637362637363</v>
      </c>
      <c r="P51" s="168">
        <f t="shared" si="9"/>
        <v>1967.24</v>
      </c>
      <c r="Q51" s="168">
        <f t="shared" si="10"/>
        <v>1333.28454</v>
      </c>
      <c r="R51" s="167">
        <f t="shared" si="11"/>
        <v>-633.9554599999999</v>
      </c>
      <c r="S51" s="176">
        <f t="shared" si="12"/>
        <v>67.77437120026026</v>
      </c>
      <c r="T51" s="130"/>
    </row>
    <row r="52" spans="1:20" s="7" customFormat="1" ht="45" customHeight="1">
      <c r="A52" s="7">
        <v>8</v>
      </c>
      <c r="B52" s="7">
        <v>15</v>
      </c>
      <c r="C52" s="5" t="s">
        <v>263</v>
      </c>
      <c r="D52" s="5" t="s">
        <v>453</v>
      </c>
      <c r="E52" s="5" t="s">
        <v>449</v>
      </c>
      <c r="F52" s="115" t="s">
        <v>254</v>
      </c>
      <c r="G52" s="43" t="s">
        <v>296</v>
      </c>
      <c r="H52" s="166">
        <f>H53</f>
        <v>172</v>
      </c>
      <c r="I52" s="166">
        <f>I53</f>
        <v>108.6</v>
      </c>
      <c r="J52" s="176">
        <f t="shared" si="8"/>
        <v>63.13953488372093</v>
      </c>
      <c r="K52" s="166"/>
      <c r="L52" s="166">
        <f>L53</f>
        <v>0</v>
      </c>
      <c r="M52" s="166"/>
      <c r="N52" s="166"/>
      <c r="O52" s="176"/>
      <c r="P52" s="168">
        <f t="shared" si="9"/>
        <v>172</v>
      </c>
      <c r="Q52" s="168">
        <f t="shared" si="10"/>
        <v>108.6</v>
      </c>
      <c r="R52" s="167">
        <f t="shared" si="11"/>
        <v>-63.400000000000006</v>
      </c>
      <c r="S52" s="176">
        <f t="shared" si="12"/>
        <v>63.13953488372093</v>
      </c>
      <c r="T52" s="129"/>
    </row>
    <row r="53" spans="2:20" s="39" customFormat="1" ht="45" customHeight="1">
      <c r="B53" s="39">
        <v>17</v>
      </c>
      <c r="C53" s="35" t="s">
        <v>297</v>
      </c>
      <c r="D53" s="35" t="s">
        <v>454</v>
      </c>
      <c r="E53" s="35" t="s">
        <v>449</v>
      </c>
      <c r="F53" s="119"/>
      <c r="G53" s="37" t="s">
        <v>315</v>
      </c>
      <c r="H53" s="166">
        <v>172</v>
      </c>
      <c r="I53" s="166">
        <v>108.6</v>
      </c>
      <c r="J53" s="176">
        <f t="shared" si="8"/>
        <v>63.13953488372093</v>
      </c>
      <c r="K53" s="170"/>
      <c r="L53" s="170"/>
      <c r="M53" s="166"/>
      <c r="N53" s="166"/>
      <c r="O53" s="176"/>
      <c r="P53" s="168">
        <f t="shared" si="9"/>
        <v>172</v>
      </c>
      <c r="Q53" s="168">
        <f t="shared" si="10"/>
        <v>108.6</v>
      </c>
      <c r="R53" s="167">
        <f t="shared" si="11"/>
        <v>-63.400000000000006</v>
      </c>
      <c r="S53" s="176">
        <f t="shared" si="12"/>
        <v>63.13953488372093</v>
      </c>
      <c r="T53" s="133"/>
    </row>
    <row r="54" spans="2:20" s="39" customFormat="1" ht="45.75" customHeight="1" hidden="1">
      <c r="B54" s="39">
        <v>18</v>
      </c>
      <c r="C54" s="35" t="s">
        <v>65</v>
      </c>
      <c r="D54" s="35"/>
      <c r="E54" s="35"/>
      <c r="F54" s="119" t="s">
        <v>254</v>
      </c>
      <c r="G54" s="37" t="s">
        <v>66</v>
      </c>
      <c r="H54" s="166"/>
      <c r="I54" s="170"/>
      <c r="J54" s="176" t="e">
        <f t="shared" si="8"/>
        <v>#DIV/0!</v>
      </c>
      <c r="K54" s="170"/>
      <c r="L54" s="170"/>
      <c r="M54" s="166"/>
      <c r="N54" s="166"/>
      <c r="O54" s="176"/>
      <c r="P54" s="168">
        <f t="shared" si="9"/>
        <v>0</v>
      </c>
      <c r="Q54" s="168">
        <f t="shared" si="10"/>
        <v>0</v>
      </c>
      <c r="R54" s="167">
        <f t="shared" si="11"/>
        <v>0</v>
      </c>
      <c r="S54" s="176" t="e">
        <f t="shared" si="12"/>
        <v>#DIV/0!</v>
      </c>
      <c r="T54" s="133"/>
    </row>
    <row r="55" spans="1:20" s="7" customFormat="1" ht="46.5" customHeight="1">
      <c r="A55" s="7">
        <v>9</v>
      </c>
      <c r="B55" s="7">
        <v>16</v>
      </c>
      <c r="C55" s="5" t="s">
        <v>264</v>
      </c>
      <c r="D55" s="5" t="s">
        <v>455</v>
      </c>
      <c r="E55" s="5" t="s">
        <v>449</v>
      </c>
      <c r="F55" s="115" t="s">
        <v>243</v>
      </c>
      <c r="G55" s="43" t="s">
        <v>59</v>
      </c>
      <c r="H55" s="166">
        <v>16.2</v>
      </c>
      <c r="I55" s="166">
        <v>10.9</v>
      </c>
      <c r="J55" s="176">
        <f t="shared" si="8"/>
        <v>67.28395061728396</v>
      </c>
      <c r="K55" s="180"/>
      <c r="L55" s="180"/>
      <c r="M55" s="166"/>
      <c r="N55" s="166"/>
      <c r="O55" s="176"/>
      <c r="P55" s="168">
        <f t="shared" si="9"/>
        <v>16.2</v>
      </c>
      <c r="Q55" s="168">
        <f t="shared" si="10"/>
        <v>10.9</v>
      </c>
      <c r="R55" s="167">
        <f t="shared" si="11"/>
        <v>-5.299999999999999</v>
      </c>
      <c r="S55" s="176">
        <f t="shared" si="12"/>
        <v>67.28395061728396</v>
      </c>
      <c r="T55" s="129"/>
    </row>
    <row r="56" spans="3:20" s="7" customFormat="1" ht="77.25" customHeight="1">
      <c r="C56" s="32" t="s">
        <v>366</v>
      </c>
      <c r="D56" s="32" t="s">
        <v>459</v>
      </c>
      <c r="E56" s="32" t="s">
        <v>460</v>
      </c>
      <c r="F56" s="115" t="s">
        <v>332</v>
      </c>
      <c r="G56" s="42" t="s">
        <v>333</v>
      </c>
      <c r="H56" s="166">
        <v>37.5</v>
      </c>
      <c r="I56" s="166">
        <v>35.4</v>
      </c>
      <c r="J56" s="176">
        <f t="shared" si="8"/>
        <v>94.39999999999999</v>
      </c>
      <c r="K56" s="180"/>
      <c r="L56" s="180"/>
      <c r="M56" s="166"/>
      <c r="N56" s="166"/>
      <c r="O56" s="176"/>
      <c r="P56" s="168">
        <f t="shared" si="9"/>
        <v>37.5</v>
      </c>
      <c r="Q56" s="168">
        <f t="shared" si="10"/>
        <v>35.4</v>
      </c>
      <c r="R56" s="167">
        <f t="shared" si="11"/>
        <v>-2.1000000000000014</v>
      </c>
      <c r="S56" s="176">
        <f t="shared" si="12"/>
        <v>94.39999999999999</v>
      </c>
      <c r="T56" s="129"/>
    </row>
    <row r="57" spans="2:20" s="7" customFormat="1" ht="99.75" customHeight="1" hidden="1">
      <c r="B57" s="7">
        <v>20</v>
      </c>
      <c r="C57" s="32" t="s">
        <v>456</v>
      </c>
      <c r="D57" s="32" t="s">
        <v>457</v>
      </c>
      <c r="E57" s="32" t="s">
        <v>458</v>
      </c>
      <c r="F57" s="115" t="s">
        <v>3</v>
      </c>
      <c r="G57" s="33" t="s">
        <v>184</v>
      </c>
      <c r="H57" s="166">
        <f>I57+L57</f>
        <v>0</v>
      </c>
      <c r="I57" s="166"/>
      <c r="J57" s="176" t="e">
        <f t="shared" si="8"/>
        <v>#DIV/0!</v>
      </c>
      <c r="K57" s="166"/>
      <c r="L57" s="166"/>
      <c r="M57" s="166"/>
      <c r="N57" s="166"/>
      <c r="O57" s="176" t="e">
        <f>M57/K57*100</f>
        <v>#DIV/0!</v>
      </c>
      <c r="P57" s="166"/>
      <c r="Q57" s="166"/>
      <c r="R57" s="167"/>
      <c r="S57" s="167"/>
      <c r="T57" s="129"/>
    </row>
    <row r="58" spans="3:22" s="7" customFormat="1" ht="40.5" customHeight="1">
      <c r="C58" s="32"/>
      <c r="D58" s="32"/>
      <c r="E58" s="32"/>
      <c r="F58" s="115"/>
      <c r="G58" s="64" t="s">
        <v>138</v>
      </c>
      <c r="H58" s="174">
        <f>H33+H34+H37+H46+H48+H49+H50+H51+H52+H55+H56</f>
        <v>121211.01399</v>
      </c>
      <c r="I58" s="174">
        <f>I33+I34+I37+I46+I48+I49+I50+I51+I52+I55+I56</f>
        <v>88351.01399</v>
      </c>
      <c r="J58" s="176">
        <f t="shared" si="8"/>
        <v>72.89025236377367</v>
      </c>
      <c r="K58" s="174">
        <f>K33+K34+K37+K46+K48+K49+K50+K51+K52+K55+K56</f>
        <v>6501.840000000001</v>
      </c>
      <c r="L58" s="174">
        <f>L33+L34+L37+L46+L48+L49+L50+L51+L52+L55+L56</f>
        <v>0</v>
      </c>
      <c r="M58" s="174">
        <f>M33+M34+M37+M46+M48+M49+M50+M51+M52+M55+M56</f>
        <v>4745.4845399999995</v>
      </c>
      <c r="N58" s="174">
        <f>N33+N34+N37+N46+N48+N49+N50+N51+N52+N55+N56</f>
        <v>113.9</v>
      </c>
      <c r="O58" s="176">
        <f>M58/K58*100</f>
        <v>72.98679358458526</v>
      </c>
      <c r="P58" s="174">
        <f>H58+K58</f>
        <v>127712.85399</v>
      </c>
      <c r="Q58" s="174">
        <f>I58+M58</f>
        <v>93096.49853000001</v>
      </c>
      <c r="R58" s="175">
        <f>Q58-P58</f>
        <v>-34616.35545999999</v>
      </c>
      <c r="S58" s="175">
        <f>Q58/P58*100</f>
        <v>72.89516726115096</v>
      </c>
      <c r="T58" s="136">
        <f>SUM(T33:T57)-T37-T52-T34</f>
        <v>141.49</v>
      </c>
      <c r="U58" s="22"/>
      <c r="V58" s="22"/>
    </row>
    <row r="59" spans="3:21" s="50" customFormat="1" ht="56.25" customHeight="1">
      <c r="C59" s="30" t="s">
        <v>176</v>
      </c>
      <c r="D59" s="30"/>
      <c r="E59" s="30"/>
      <c r="F59" s="121"/>
      <c r="G59" s="86" t="s">
        <v>402</v>
      </c>
      <c r="H59" s="174"/>
      <c r="I59" s="174"/>
      <c r="J59" s="176"/>
      <c r="K59" s="174"/>
      <c r="L59" s="174"/>
      <c r="M59" s="174"/>
      <c r="N59" s="174"/>
      <c r="O59" s="175"/>
      <c r="P59" s="174"/>
      <c r="Q59" s="174"/>
      <c r="R59" s="175"/>
      <c r="S59" s="175"/>
      <c r="T59" s="136"/>
      <c r="U59" s="53"/>
    </row>
    <row r="60" spans="3:21" s="7" customFormat="1" ht="56.25" customHeight="1">
      <c r="C60" s="151" t="s">
        <v>28</v>
      </c>
      <c r="D60" s="30"/>
      <c r="E60" s="30"/>
      <c r="F60" s="121"/>
      <c r="G60" s="48" t="s">
        <v>401</v>
      </c>
      <c r="H60" s="166"/>
      <c r="I60" s="166"/>
      <c r="J60" s="176"/>
      <c r="K60" s="166"/>
      <c r="L60" s="166"/>
      <c r="M60" s="166"/>
      <c r="N60" s="166"/>
      <c r="O60" s="167"/>
      <c r="P60" s="166"/>
      <c r="Q60" s="166"/>
      <c r="R60" s="167"/>
      <c r="S60" s="167"/>
      <c r="T60" s="129"/>
      <c r="U60" s="22"/>
    </row>
    <row r="61" spans="1:21" s="7" customFormat="1" ht="47.25" customHeight="1">
      <c r="A61" s="7">
        <v>2</v>
      </c>
      <c r="B61" s="7">
        <v>17</v>
      </c>
      <c r="C61" s="32" t="s">
        <v>177</v>
      </c>
      <c r="D61" s="32" t="s">
        <v>461</v>
      </c>
      <c r="E61" s="32"/>
      <c r="F61" s="115"/>
      <c r="G61" s="43" t="s">
        <v>178</v>
      </c>
      <c r="H61" s="166">
        <f>H62+H63</f>
        <v>222.8</v>
      </c>
      <c r="I61" s="166">
        <f>I62+I63</f>
        <v>222.8</v>
      </c>
      <c r="J61" s="176">
        <f t="shared" si="8"/>
        <v>100</v>
      </c>
      <c r="K61" s="166"/>
      <c r="L61" s="166">
        <f>L62+L63</f>
        <v>0</v>
      </c>
      <c r="M61" s="166"/>
      <c r="N61" s="166"/>
      <c r="O61" s="167"/>
      <c r="P61" s="166">
        <f>H61+K61</f>
        <v>222.8</v>
      </c>
      <c r="Q61" s="166">
        <f>I61+M61</f>
        <v>222.8</v>
      </c>
      <c r="R61" s="167">
        <f>Q61-P61</f>
        <v>0</v>
      </c>
      <c r="S61" s="167">
        <f>Q61/P61*100</f>
        <v>100</v>
      </c>
      <c r="T61" s="129">
        <f>T62+T63</f>
        <v>0</v>
      </c>
      <c r="U61" s="22"/>
    </row>
    <row r="62" spans="3:21" s="39" customFormat="1" ht="33" customHeight="1">
      <c r="C62" s="35" t="s">
        <v>129</v>
      </c>
      <c r="D62" s="35" t="s">
        <v>462</v>
      </c>
      <c r="E62" s="35" t="s">
        <v>463</v>
      </c>
      <c r="F62" s="119" t="s">
        <v>50</v>
      </c>
      <c r="G62" s="45" t="s">
        <v>110</v>
      </c>
      <c r="H62" s="170">
        <v>221.3</v>
      </c>
      <c r="I62" s="170">
        <v>221.3</v>
      </c>
      <c r="J62" s="176">
        <f t="shared" si="8"/>
        <v>100</v>
      </c>
      <c r="K62" s="170"/>
      <c r="L62" s="170"/>
      <c r="M62" s="181"/>
      <c r="N62" s="181"/>
      <c r="O62" s="171"/>
      <c r="P62" s="166">
        <f>H62+K62</f>
        <v>221.3</v>
      </c>
      <c r="Q62" s="166">
        <f>I62+M62</f>
        <v>221.3</v>
      </c>
      <c r="R62" s="167">
        <f>Q62-P62</f>
        <v>0</v>
      </c>
      <c r="S62" s="167">
        <f>Q62/P62*100</f>
        <v>100</v>
      </c>
      <c r="T62" s="133"/>
      <c r="U62" s="54"/>
    </row>
    <row r="63" spans="3:20" s="39" customFormat="1" ht="81" customHeight="1">
      <c r="C63" s="35" t="s">
        <v>271</v>
      </c>
      <c r="D63" s="35" t="s">
        <v>464</v>
      </c>
      <c r="E63" s="35" t="s">
        <v>463</v>
      </c>
      <c r="F63" s="119" t="s">
        <v>29</v>
      </c>
      <c r="G63" s="45" t="s">
        <v>335</v>
      </c>
      <c r="H63" s="170">
        <v>1.5</v>
      </c>
      <c r="I63" s="170">
        <v>1.5</v>
      </c>
      <c r="J63" s="176">
        <f t="shared" si="8"/>
        <v>100</v>
      </c>
      <c r="K63" s="170"/>
      <c r="L63" s="170"/>
      <c r="M63" s="170"/>
      <c r="N63" s="170"/>
      <c r="O63" s="172"/>
      <c r="P63" s="166">
        <f>H63+K63</f>
        <v>1.5</v>
      </c>
      <c r="Q63" s="166">
        <f>I63+M63</f>
        <v>1.5</v>
      </c>
      <c r="R63" s="167">
        <f>Q63-P63</f>
        <v>0</v>
      </c>
      <c r="S63" s="167">
        <f>Q63/P63*100</f>
        <v>100</v>
      </c>
      <c r="T63" s="133"/>
    </row>
    <row r="64" spans="3:22" s="7" customFormat="1" ht="36.75" customHeight="1">
      <c r="C64" s="32"/>
      <c r="D64" s="32"/>
      <c r="E64" s="32"/>
      <c r="F64" s="115"/>
      <c r="G64" s="64" t="s">
        <v>137</v>
      </c>
      <c r="H64" s="174">
        <f>SUM(H62:H63)</f>
        <v>222.8</v>
      </c>
      <c r="I64" s="174">
        <f aca="true" t="shared" si="14" ref="I64:T64">SUM(I62:I63)</f>
        <v>222.8</v>
      </c>
      <c r="J64" s="176">
        <f t="shared" si="8"/>
        <v>100</v>
      </c>
      <c r="K64" s="174">
        <f t="shared" si="14"/>
        <v>0</v>
      </c>
      <c r="L64" s="174">
        <f t="shared" si="14"/>
        <v>0</v>
      </c>
      <c r="M64" s="174">
        <f t="shared" si="14"/>
        <v>0</v>
      </c>
      <c r="N64" s="174">
        <v>0</v>
      </c>
      <c r="O64" s="175">
        <f t="shared" si="14"/>
        <v>0</v>
      </c>
      <c r="P64" s="174">
        <f t="shared" si="14"/>
        <v>222.8</v>
      </c>
      <c r="Q64" s="174">
        <f t="shared" si="14"/>
        <v>222.8</v>
      </c>
      <c r="R64" s="175">
        <f>Q64-P64</f>
        <v>0</v>
      </c>
      <c r="S64" s="175">
        <f>Q64/P64*100</f>
        <v>100</v>
      </c>
      <c r="T64" s="136">
        <f t="shared" si="14"/>
        <v>0</v>
      </c>
      <c r="U64" s="22"/>
      <c r="V64" s="22"/>
    </row>
    <row r="65" spans="3:48" s="7" customFormat="1" ht="60.75" customHeight="1">
      <c r="C65" s="30" t="s">
        <v>141</v>
      </c>
      <c r="D65" s="30"/>
      <c r="E65" s="30"/>
      <c r="F65" s="121"/>
      <c r="G65" s="85" t="s">
        <v>734</v>
      </c>
      <c r="H65" s="166"/>
      <c r="I65" s="166"/>
      <c r="J65" s="167"/>
      <c r="K65" s="166"/>
      <c r="L65" s="166"/>
      <c r="M65" s="166"/>
      <c r="N65" s="166"/>
      <c r="O65" s="167"/>
      <c r="P65" s="166"/>
      <c r="Q65" s="166"/>
      <c r="R65" s="167"/>
      <c r="S65" s="167"/>
      <c r="T65" s="129"/>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row>
    <row r="66" spans="3:48" s="7" customFormat="1" ht="60.75" customHeight="1">
      <c r="C66" s="151" t="s">
        <v>142</v>
      </c>
      <c r="D66" s="30"/>
      <c r="E66" s="30"/>
      <c r="F66" s="115"/>
      <c r="G66" s="31" t="s">
        <v>735</v>
      </c>
      <c r="H66" s="166"/>
      <c r="I66" s="166"/>
      <c r="J66" s="167"/>
      <c r="K66" s="166"/>
      <c r="L66" s="166"/>
      <c r="M66" s="166"/>
      <c r="N66" s="166"/>
      <c r="O66" s="167"/>
      <c r="P66" s="166"/>
      <c r="Q66" s="166"/>
      <c r="R66" s="167"/>
      <c r="S66" s="167"/>
      <c r="T66" s="129"/>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row>
    <row r="67" spans="3:48" s="19" customFormat="1" ht="37.5" customHeight="1">
      <c r="C67" s="65"/>
      <c r="D67" s="65"/>
      <c r="E67" s="65"/>
      <c r="F67" s="122"/>
      <c r="G67" s="66" t="s">
        <v>45</v>
      </c>
      <c r="H67" s="170">
        <f>H69+H71+H76+H84+H91+H92+H100+H116+H127</f>
        <v>88786.63690000001</v>
      </c>
      <c r="I67" s="170">
        <f>I69+I71+I76+I84+I91+I92+I100+I116+I127</f>
        <v>65496.200000000004</v>
      </c>
      <c r="J67" s="176">
        <f aca="true" t="shared" si="15" ref="J67:J93">I67/H67*100</f>
        <v>73.7680829985351</v>
      </c>
      <c r="K67" s="170">
        <f>K69+K71+K76+K84+K91+K92+K100+K116+K127</f>
        <v>205</v>
      </c>
      <c r="L67" s="170">
        <f>L69+L71+L76+L84+L91+L92+L100+L116+L127</f>
        <v>0</v>
      </c>
      <c r="M67" s="170">
        <f>M69+M71+M76+M84+M91+M92+M100+M116+M127</f>
        <v>202.9</v>
      </c>
      <c r="N67" s="170">
        <f>N69+N71+N76+N84+N91+N92+N100+N116+N127</f>
        <v>202.9</v>
      </c>
      <c r="O67" s="176">
        <f aca="true" t="shared" si="16" ref="O67:O77">M67/K67*100</f>
        <v>98.97560975609755</v>
      </c>
      <c r="P67" s="170">
        <f>H67+K67</f>
        <v>88991.63690000001</v>
      </c>
      <c r="Q67" s="170">
        <f>I67+M67</f>
        <v>65699.1</v>
      </c>
      <c r="R67" s="171">
        <f>Q67-P67</f>
        <v>-23292.536900000006</v>
      </c>
      <c r="S67" s="171">
        <f>Q67/P67*100</f>
        <v>73.82615073574402</v>
      </c>
      <c r="T67" s="49">
        <f>T69+T93+T101+T95+T96+T103+T97+T117+T118+T119+T120+T121+T122+T123+T124+T98+T104+T125+T127+T71+T72+T73+T75</f>
        <v>0</v>
      </c>
      <c r="U67" s="67"/>
      <c r="V67" s="67"/>
      <c r="W67" s="67"/>
      <c r="X67" s="67"/>
      <c r="Y67" s="67"/>
      <c r="Z67" s="67"/>
      <c r="AA67" s="67"/>
      <c r="AB67" s="67"/>
      <c r="AC67" s="67"/>
      <c r="AD67" s="67"/>
      <c r="AE67" s="67"/>
      <c r="AF67" s="67"/>
      <c r="AG67" s="67"/>
      <c r="AH67" s="67"/>
      <c r="AI67" s="67"/>
      <c r="AJ67" s="67"/>
      <c r="AK67" s="67"/>
      <c r="AL67" s="67"/>
      <c r="AM67" s="67"/>
      <c r="AN67" s="67"/>
      <c r="AO67" s="67"/>
      <c r="AP67" s="67"/>
      <c r="AQ67" s="67"/>
      <c r="AR67" s="67"/>
      <c r="AS67" s="67"/>
      <c r="AT67" s="67"/>
      <c r="AU67" s="67"/>
      <c r="AV67" s="67"/>
    </row>
    <row r="68" spans="1:20" s="7" customFormat="1" ht="115.5" customHeight="1">
      <c r="A68" s="7">
        <v>3</v>
      </c>
      <c r="B68" s="7">
        <v>18</v>
      </c>
      <c r="C68" s="32" t="s">
        <v>298</v>
      </c>
      <c r="D68" s="32" t="s">
        <v>420</v>
      </c>
      <c r="E68" s="32" t="s">
        <v>421</v>
      </c>
      <c r="F68" s="115" t="s">
        <v>196</v>
      </c>
      <c r="G68" s="33" t="s">
        <v>602</v>
      </c>
      <c r="H68" s="166">
        <v>4200.9</v>
      </c>
      <c r="I68" s="166">
        <v>3199.3</v>
      </c>
      <c r="J68" s="176">
        <f t="shared" si="15"/>
        <v>76.15749006165346</v>
      </c>
      <c r="K68" s="166"/>
      <c r="L68" s="166"/>
      <c r="M68" s="166"/>
      <c r="N68" s="166"/>
      <c r="O68" s="176"/>
      <c r="P68" s="170">
        <f aca="true" t="shared" si="17" ref="P68:P132">H68+K68</f>
        <v>4200.9</v>
      </c>
      <c r="Q68" s="170">
        <f aca="true" t="shared" si="18" ref="Q68:Q132">I68+M68</f>
        <v>3199.3</v>
      </c>
      <c r="R68" s="171">
        <f aca="true" t="shared" si="19" ref="R68:R132">Q68-P68</f>
        <v>-1001.5999999999995</v>
      </c>
      <c r="S68" s="171">
        <f aca="true" t="shared" si="20" ref="S68:S132">Q68/P68*100</f>
        <v>76.15749006165346</v>
      </c>
      <c r="T68" s="129"/>
    </row>
    <row r="69" spans="1:20" s="7" customFormat="1" ht="115.5" customHeight="1">
      <c r="A69" s="7">
        <v>10</v>
      </c>
      <c r="B69" s="7">
        <v>19</v>
      </c>
      <c r="C69" s="5" t="s">
        <v>265</v>
      </c>
      <c r="D69" s="5" t="s">
        <v>465</v>
      </c>
      <c r="E69" s="5" t="s">
        <v>442</v>
      </c>
      <c r="F69" s="115" t="s">
        <v>275</v>
      </c>
      <c r="G69" s="41" t="s">
        <v>617</v>
      </c>
      <c r="H69" s="166">
        <v>594.8</v>
      </c>
      <c r="I69" s="166">
        <v>395.4</v>
      </c>
      <c r="J69" s="176">
        <f t="shared" si="15"/>
        <v>66.47612642905179</v>
      </c>
      <c r="K69" s="166"/>
      <c r="L69" s="166"/>
      <c r="M69" s="166"/>
      <c r="N69" s="166"/>
      <c r="O69" s="176"/>
      <c r="P69" s="170">
        <f t="shared" si="17"/>
        <v>594.8</v>
      </c>
      <c r="Q69" s="170">
        <f t="shared" si="18"/>
        <v>395.4</v>
      </c>
      <c r="R69" s="171">
        <f t="shared" si="19"/>
        <v>-199.39999999999998</v>
      </c>
      <c r="S69" s="171">
        <f t="shared" si="20"/>
        <v>66.47612642905179</v>
      </c>
      <c r="T69" s="129"/>
    </row>
    <row r="70" spans="3:22" s="7" customFormat="1" ht="51.75" customHeight="1">
      <c r="C70" s="59" t="s">
        <v>706</v>
      </c>
      <c r="D70" s="59" t="s">
        <v>707</v>
      </c>
      <c r="E70" s="59" t="s">
        <v>708</v>
      </c>
      <c r="F70" s="116" t="s">
        <v>318</v>
      </c>
      <c r="G70" s="29" t="s">
        <v>319</v>
      </c>
      <c r="H70" s="179">
        <f>SUM(H71:H77)</f>
        <v>60745.0369</v>
      </c>
      <c r="I70" s="179">
        <f>SUM(I71:I77)</f>
        <v>44234.9</v>
      </c>
      <c r="J70" s="176">
        <f t="shared" si="15"/>
        <v>72.82059943896421</v>
      </c>
      <c r="K70" s="179">
        <f>SUM(K71:K77)</f>
        <v>9927.3</v>
      </c>
      <c r="L70" s="179">
        <f>SUM(L71:L77)</f>
        <v>0</v>
      </c>
      <c r="M70" s="179">
        <f>SUM(M71:M77)</f>
        <v>7738.5</v>
      </c>
      <c r="N70" s="179">
        <f>SUM(N71:N77)</f>
        <v>2264.8</v>
      </c>
      <c r="O70" s="176">
        <f t="shared" si="16"/>
        <v>77.95170892387658</v>
      </c>
      <c r="P70" s="170">
        <f t="shared" si="17"/>
        <v>70672.3369</v>
      </c>
      <c r="Q70" s="170">
        <f t="shared" si="18"/>
        <v>51973.4</v>
      </c>
      <c r="R70" s="171">
        <f t="shared" si="19"/>
        <v>-18698.936899999993</v>
      </c>
      <c r="S70" s="171">
        <f t="shared" si="20"/>
        <v>73.54136325439666</v>
      </c>
      <c r="T70" s="131">
        <f>SUM(T71:T77)</f>
        <v>231.7</v>
      </c>
      <c r="U70" s="22"/>
      <c r="V70" s="22"/>
    </row>
    <row r="71" spans="3:21" s="7" customFormat="1" ht="30" customHeight="1">
      <c r="C71" s="61"/>
      <c r="D71" s="61"/>
      <c r="E71" s="61"/>
      <c r="F71" s="117"/>
      <c r="G71" s="93" t="s">
        <v>328</v>
      </c>
      <c r="H71" s="179">
        <f>33994.5-913.3</f>
        <v>33081.2</v>
      </c>
      <c r="I71" s="179">
        <v>24809.9</v>
      </c>
      <c r="J71" s="176">
        <f t="shared" si="15"/>
        <v>74.99697713504952</v>
      </c>
      <c r="K71" s="179">
        <v>205</v>
      </c>
      <c r="L71" s="166"/>
      <c r="M71" s="166">
        <v>202.9</v>
      </c>
      <c r="N71" s="166">
        <v>202.9</v>
      </c>
      <c r="O71" s="176">
        <f t="shared" si="16"/>
        <v>98.97560975609755</v>
      </c>
      <c r="P71" s="170">
        <f t="shared" si="17"/>
        <v>33286.2</v>
      </c>
      <c r="Q71" s="170">
        <f t="shared" si="18"/>
        <v>25012.800000000003</v>
      </c>
      <c r="R71" s="171">
        <f t="shared" si="19"/>
        <v>-8273.399999999994</v>
      </c>
      <c r="S71" s="171">
        <f t="shared" si="20"/>
        <v>75.14465454152173</v>
      </c>
      <c r="T71" s="129"/>
      <c r="U71" s="22"/>
    </row>
    <row r="72" spans="3:21" s="7" customFormat="1" ht="46.5" customHeight="1" hidden="1">
      <c r="C72" s="61"/>
      <c r="D72" s="61"/>
      <c r="E72" s="61"/>
      <c r="F72" s="117"/>
      <c r="G72" s="93" t="s">
        <v>329</v>
      </c>
      <c r="H72" s="179"/>
      <c r="I72" s="179"/>
      <c r="J72" s="176" t="e">
        <f t="shared" si="15"/>
        <v>#DIV/0!</v>
      </c>
      <c r="K72" s="179"/>
      <c r="L72" s="166"/>
      <c r="M72" s="166"/>
      <c r="N72" s="166"/>
      <c r="O72" s="176" t="e">
        <f t="shared" si="16"/>
        <v>#DIV/0!</v>
      </c>
      <c r="P72" s="170">
        <f t="shared" si="17"/>
        <v>0</v>
      </c>
      <c r="Q72" s="170">
        <f t="shared" si="18"/>
        <v>0</v>
      </c>
      <c r="R72" s="171">
        <f t="shared" si="19"/>
        <v>0</v>
      </c>
      <c r="S72" s="171" t="e">
        <f t="shared" si="20"/>
        <v>#DIV/0!</v>
      </c>
      <c r="T72" s="129"/>
      <c r="U72" s="22"/>
    </row>
    <row r="73" spans="3:20" s="7" customFormat="1" ht="56.25" customHeight="1" hidden="1">
      <c r="C73" s="61"/>
      <c r="D73" s="61"/>
      <c r="E73" s="61"/>
      <c r="F73" s="117"/>
      <c r="G73" s="93" t="s">
        <v>334</v>
      </c>
      <c r="H73" s="179"/>
      <c r="I73" s="179"/>
      <c r="J73" s="176" t="e">
        <f t="shared" si="15"/>
        <v>#DIV/0!</v>
      </c>
      <c r="K73" s="179"/>
      <c r="L73" s="166"/>
      <c r="M73" s="166"/>
      <c r="N73" s="166"/>
      <c r="O73" s="176" t="e">
        <f t="shared" si="16"/>
        <v>#DIV/0!</v>
      </c>
      <c r="P73" s="170">
        <f t="shared" si="17"/>
        <v>0</v>
      </c>
      <c r="Q73" s="170">
        <f t="shared" si="18"/>
        <v>0</v>
      </c>
      <c r="R73" s="171">
        <f t="shared" si="19"/>
        <v>0</v>
      </c>
      <c r="S73" s="171" t="e">
        <f t="shared" si="20"/>
        <v>#DIV/0!</v>
      </c>
      <c r="T73" s="129"/>
    </row>
    <row r="74" spans="3:20" s="7" customFormat="1" ht="30" customHeight="1" hidden="1">
      <c r="C74" s="61"/>
      <c r="D74" s="61"/>
      <c r="E74" s="61"/>
      <c r="F74" s="117"/>
      <c r="G74" s="93" t="s">
        <v>380</v>
      </c>
      <c r="H74" s="179"/>
      <c r="I74" s="179"/>
      <c r="J74" s="176" t="e">
        <f t="shared" si="15"/>
        <v>#DIV/0!</v>
      </c>
      <c r="K74" s="179"/>
      <c r="L74" s="166"/>
      <c r="M74" s="166"/>
      <c r="N74" s="166"/>
      <c r="O74" s="176" t="e">
        <f t="shared" si="16"/>
        <v>#DIV/0!</v>
      </c>
      <c r="P74" s="170">
        <f t="shared" si="17"/>
        <v>0</v>
      </c>
      <c r="Q74" s="170">
        <f t="shared" si="18"/>
        <v>0</v>
      </c>
      <c r="R74" s="171">
        <f t="shared" si="19"/>
        <v>0</v>
      </c>
      <c r="S74" s="171" t="e">
        <f t="shared" si="20"/>
        <v>#DIV/0!</v>
      </c>
      <c r="T74" s="129"/>
    </row>
    <row r="75" spans="3:20" s="7" customFormat="1" ht="62.25" customHeight="1">
      <c r="C75" s="61"/>
      <c r="D75" s="61"/>
      <c r="E75" s="61"/>
      <c r="F75" s="117"/>
      <c r="G75" s="222" t="s">
        <v>730</v>
      </c>
      <c r="H75" s="179"/>
      <c r="I75" s="179"/>
      <c r="J75" s="176"/>
      <c r="K75" s="179">
        <v>100</v>
      </c>
      <c r="L75" s="166"/>
      <c r="M75" s="166">
        <v>100</v>
      </c>
      <c r="N75" s="166">
        <v>100</v>
      </c>
      <c r="O75" s="176">
        <f t="shared" si="16"/>
        <v>100</v>
      </c>
      <c r="P75" s="170">
        <f t="shared" si="17"/>
        <v>100</v>
      </c>
      <c r="Q75" s="170">
        <f t="shared" si="18"/>
        <v>100</v>
      </c>
      <c r="R75" s="171">
        <f t="shared" si="19"/>
        <v>0</v>
      </c>
      <c r="S75" s="171">
        <f t="shared" si="20"/>
        <v>100</v>
      </c>
      <c r="T75" s="129"/>
    </row>
    <row r="76" spans="3:20" s="7" customFormat="1" ht="45" customHeight="1">
      <c r="C76" s="61"/>
      <c r="D76" s="61"/>
      <c r="E76" s="61"/>
      <c r="F76" s="117"/>
      <c r="G76" s="93" t="s">
        <v>709</v>
      </c>
      <c r="H76" s="179">
        <v>913.3369</v>
      </c>
      <c r="I76" s="179">
        <v>710.4</v>
      </c>
      <c r="J76" s="176"/>
      <c r="K76" s="179"/>
      <c r="L76" s="166"/>
      <c r="M76" s="166"/>
      <c r="N76" s="166"/>
      <c r="O76" s="176"/>
      <c r="P76" s="170">
        <f t="shared" si="17"/>
        <v>913.3369</v>
      </c>
      <c r="Q76" s="170">
        <f t="shared" si="18"/>
        <v>710.4</v>
      </c>
      <c r="R76" s="171">
        <f t="shared" si="19"/>
        <v>-202.93690000000004</v>
      </c>
      <c r="S76" s="171">
        <f t="shared" si="20"/>
        <v>77.78071815558968</v>
      </c>
      <c r="T76" s="129"/>
    </row>
    <row r="77" spans="3:22" s="7" customFormat="1" ht="26.25" customHeight="1">
      <c r="C77" s="61"/>
      <c r="D77" s="61"/>
      <c r="E77" s="61"/>
      <c r="F77" s="117"/>
      <c r="G77" s="93" t="s">
        <v>330</v>
      </c>
      <c r="H77" s="179">
        <v>26750.5</v>
      </c>
      <c r="I77" s="179">
        <v>18714.6</v>
      </c>
      <c r="J77" s="176">
        <f t="shared" si="15"/>
        <v>69.95981383525542</v>
      </c>
      <c r="K77" s="179">
        <f>2242.9+1589.4+5790</f>
        <v>9622.3</v>
      </c>
      <c r="L77" s="166"/>
      <c r="M77" s="182">
        <f>3885.3+1588.4+1961.9</f>
        <v>7435.6</v>
      </c>
      <c r="N77" s="179">
        <v>1961.9</v>
      </c>
      <c r="O77" s="176">
        <f t="shared" si="16"/>
        <v>77.2746640616069</v>
      </c>
      <c r="P77" s="170">
        <f t="shared" si="17"/>
        <v>36372.8</v>
      </c>
      <c r="Q77" s="170">
        <f t="shared" si="18"/>
        <v>26150.199999999997</v>
      </c>
      <c r="R77" s="171">
        <f t="shared" si="19"/>
        <v>-10222.600000000006</v>
      </c>
      <c r="S77" s="171">
        <f t="shared" si="20"/>
        <v>71.89493247701579</v>
      </c>
      <c r="T77" s="98">
        <v>231.7</v>
      </c>
      <c r="U77" s="22"/>
      <c r="V77" s="22"/>
    </row>
    <row r="78" spans="3:20" s="7" customFormat="1" ht="38.25" customHeight="1">
      <c r="C78" s="83" t="s">
        <v>344</v>
      </c>
      <c r="D78" s="83" t="s">
        <v>476</v>
      </c>
      <c r="E78" s="83"/>
      <c r="F78" s="117"/>
      <c r="G78" s="84" t="s">
        <v>34</v>
      </c>
      <c r="H78" s="166">
        <f>H79+H80+H81+H82+H85</f>
        <v>900.8</v>
      </c>
      <c r="I78" s="166">
        <f>I79+I80+I81+I82+I85</f>
        <v>518.7</v>
      </c>
      <c r="J78" s="176">
        <f t="shared" si="15"/>
        <v>57.58214920071049</v>
      </c>
      <c r="K78" s="166"/>
      <c r="L78" s="166"/>
      <c r="M78" s="166"/>
      <c r="N78" s="166"/>
      <c r="O78" s="169"/>
      <c r="P78" s="170">
        <f t="shared" si="17"/>
        <v>900.8</v>
      </c>
      <c r="Q78" s="170">
        <f t="shared" si="18"/>
        <v>518.7</v>
      </c>
      <c r="R78" s="171">
        <f t="shared" si="19"/>
        <v>-382.0999999999999</v>
      </c>
      <c r="S78" s="171">
        <f t="shared" si="20"/>
        <v>57.58214920071049</v>
      </c>
      <c r="T78" s="129"/>
    </row>
    <row r="79" spans="3:20" s="7" customFormat="1" ht="57.75" customHeight="1">
      <c r="C79" s="76" t="s">
        <v>345</v>
      </c>
      <c r="D79" s="76" t="s">
        <v>477</v>
      </c>
      <c r="E79" s="76" t="s">
        <v>648</v>
      </c>
      <c r="F79" s="118" t="s">
        <v>308</v>
      </c>
      <c r="G79" s="96" t="s">
        <v>679</v>
      </c>
      <c r="H79" s="170">
        <v>149.5</v>
      </c>
      <c r="I79" s="170">
        <v>103.4</v>
      </c>
      <c r="J79" s="176">
        <f t="shared" si="15"/>
        <v>69.16387959866222</v>
      </c>
      <c r="K79" s="166"/>
      <c r="L79" s="166"/>
      <c r="M79" s="166"/>
      <c r="N79" s="166"/>
      <c r="O79" s="169"/>
      <c r="P79" s="170">
        <f t="shared" si="17"/>
        <v>149.5</v>
      </c>
      <c r="Q79" s="170">
        <f t="shared" si="18"/>
        <v>103.4</v>
      </c>
      <c r="R79" s="171">
        <f t="shared" si="19"/>
        <v>-46.099999999999994</v>
      </c>
      <c r="S79" s="171">
        <f t="shared" si="20"/>
        <v>69.16387959866222</v>
      </c>
      <c r="T79" s="129"/>
    </row>
    <row r="80" spans="3:20" s="7" customFormat="1" ht="55.5" customHeight="1">
      <c r="C80" s="76" t="s">
        <v>349</v>
      </c>
      <c r="D80" s="76" t="s">
        <v>478</v>
      </c>
      <c r="E80" s="76" t="s">
        <v>467</v>
      </c>
      <c r="F80" s="118" t="s">
        <v>24</v>
      </c>
      <c r="G80" s="77" t="s">
        <v>680</v>
      </c>
      <c r="H80" s="170">
        <v>75.4</v>
      </c>
      <c r="I80" s="170">
        <v>12.8</v>
      </c>
      <c r="J80" s="176">
        <f t="shared" si="15"/>
        <v>16.976127320954905</v>
      </c>
      <c r="K80" s="166"/>
      <c r="L80" s="166"/>
      <c r="M80" s="166"/>
      <c r="N80" s="166"/>
      <c r="O80" s="169"/>
      <c r="P80" s="170">
        <f t="shared" si="17"/>
        <v>75.4</v>
      </c>
      <c r="Q80" s="170">
        <f t="shared" si="18"/>
        <v>12.8</v>
      </c>
      <c r="R80" s="171">
        <f t="shared" si="19"/>
        <v>-62.60000000000001</v>
      </c>
      <c r="S80" s="171">
        <f t="shared" si="20"/>
        <v>16.976127320954905</v>
      </c>
      <c r="T80" s="129"/>
    </row>
    <row r="81" spans="3:20" s="7" customFormat="1" ht="54" customHeight="1">
      <c r="C81" s="76" t="s">
        <v>350</v>
      </c>
      <c r="D81" s="76" t="s">
        <v>479</v>
      </c>
      <c r="E81" s="76" t="s">
        <v>467</v>
      </c>
      <c r="F81" s="118" t="s">
        <v>25</v>
      </c>
      <c r="G81" s="77" t="s">
        <v>23</v>
      </c>
      <c r="H81" s="170">
        <v>30</v>
      </c>
      <c r="I81" s="170">
        <v>30</v>
      </c>
      <c r="J81" s="176">
        <f t="shared" si="15"/>
        <v>100</v>
      </c>
      <c r="K81" s="166"/>
      <c r="L81" s="166"/>
      <c r="M81" s="166"/>
      <c r="N81" s="166"/>
      <c r="O81" s="169"/>
      <c r="P81" s="170">
        <f t="shared" si="17"/>
        <v>30</v>
      </c>
      <c r="Q81" s="170">
        <f t="shared" si="18"/>
        <v>30</v>
      </c>
      <c r="R81" s="171">
        <f t="shared" si="19"/>
        <v>0</v>
      </c>
      <c r="S81" s="171">
        <f t="shared" si="20"/>
        <v>100</v>
      </c>
      <c r="T81" s="129"/>
    </row>
    <row r="82" spans="3:20" s="7" customFormat="1" ht="63.75" customHeight="1">
      <c r="C82" s="76" t="s">
        <v>351</v>
      </c>
      <c r="D82" s="76" t="s">
        <v>480</v>
      </c>
      <c r="E82" s="76" t="s">
        <v>467</v>
      </c>
      <c r="F82" s="118" t="s">
        <v>26</v>
      </c>
      <c r="G82" s="77" t="s">
        <v>710</v>
      </c>
      <c r="H82" s="170">
        <f>H83+H84</f>
        <v>487.5</v>
      </c>
      <c r="I82" s="170">
        <f>I83+I84</f>
        <v>214.10000000000002</v>
      </c>
      <c r="J82" s="176">
        <f t="shared" si="15"/>
        <v>43.917948717948725</v>
      </c>
      <c r="K82" s="166"/>
      <c r="L82" s="166"/>
      <c r="M82" s="166"/>
      <c r="N82" s="166"/>
      <c r="O82" s="169"/>
      <c r="P82" s="170">
        <f t="shared" si="17"/>
        <v>487.5</v>
      </c>
      <c r="Q82" s="170">
        <f t="shared" si="18"/>
        <v>214.10000000000002</v>
      </c>
      <c r="R82" s="171">
        <f t="shared" si="19"/>
        <v>-273.4</v>
      </c>
      <c r="S82" s="171">
        <f t="shared" si="20"/>
        <v>43.917948717948725</v>
      </c>
      <c r="T82" s="129"/>
    </row>
    <row r="83" spans="3:20" s="7" customFormat="1" ht="63.75" customHeight="1">
      <c r="C83" s="76"/>
      <c r="D83" s="76"/>
      <c r="E83" s="76"/>
      <c r="F83" s="118"/>
      <c r="G83" s="77" t="s">
        <v>711</v>
      </c>
      <c r="H83" s="170">
        <v>150</v>
      </c>
      <c r="I83" s="170">
        <v>113.7</v>
      </c>
      <c r="J83" s="176">
        <f t="shared" si="15"/>
        <v>75.8</v>
      </c>
      <c r="K83" s="166"/>
      <c r="L83" s="166"/>
      <c r="M83" s="166"/>
      <c r="N83" s="166"/>
      <c r="O83" s="169"/>
      <c r="P83" s="170">
        <f t="shared" si="17"/>
        <v>150</v>
      </c>
      <c r="Q83" s="170">
        <f t="shared" si="18"/>
        <v>113.7</v>
      </c>
      <c r="R83" s="171">
        <f t="shared" si="19"/>
        <v>-36.3</v>
      </c>
      <c r="S83" s="171">
        <f t="shared" si="20"/>
        <v>75.8</v>
      </c>
      <c r="T83" s="129"/>
    </row>
    <row r="84" spans="3:20" s="7" customFormat="1" ht="63.75" customHeight="1">
      <c r="C84" s="76"/>
      <c r="D84" s="76"/>
      <c r="E84" s="76"/>
      <c r="F84" s="118"/>
      <c r="G84" s="77" t="s">
        <v>712</v>
      </c>
      <c r="H84" s="170">
        <v>337.5</v>
      </c>
      <c r="I84" s="170">
        <v>100.4</v>
      </c>
      <c r="J84" s="224">
        <f t="shared" si="15"/>
        <v>29.74814814814815</v>
      </c>
      <c r="K84" s="166"/>
      <c r="L84" s="166"/>
      <c r="M84" s="166"/>
      <c r="N84" s="166"/>
      <c r="O84" s="169"/>
      <c r="P84" s="170">
        <f t="shared" si="17"/>
        <v>337.5</v>
      </c>
      <c r="Q84" s="170">
        <f t="shared" si="18"/>
        <v>100.4</v>
      </c>
      <c r="R84" s="171">
        <f t="shared" si="19"/>
        <v>-237.1</v>
      </c>
      <c r="S84" s="171">
        <f t="shared" si="20"/>
        <v>29.74814814814815</v>
      </c>
      <c r="T84" s="129"/>
    </row>
    <row r="85" spans="3:20" s="7" customFormat="1" ht="57.75" customHeight="1">
      <c r="C85" s="76" t="s">
        <v>346</v>
      </c>
      <c r="D85" s="76" t="s">
        <v>481</v>
      </c>
      <c r="E85" s="76" t="s">
        <v>467</v>
      </c>
      <c r="F85" s="118" t="s">
        <v>27</v>
      </c>
      <c r="G85" s="77" t="s">
        <v>416</v>
      </c>
      <c r="H85" s="170">
        <v>158.4</v>
      </c>
      <c r="I85" s="170">
        <v>158.4</v>
      </c>
      <c r="J85" s="176">
        <f t="shared" si="15"/>
        <v>100</v>
      </c>
      <c r="K85" s="166"/>
      <c r="L85" s="166"/>
      <c r="M85" s="166"/>
      <c r="N85" s="166"/>
      <c r="O85" s="169"/>
      <c r="P85" s="170">
        <f t="shared" si="17"/>
        <v>158.4</v>
      </c>
      <c r="Q85" s="170">
        <f t="shared" si="18"/>
        <v>158.4</v>
      </c>
      <c r="R85" s="171">
        <f t="shared" si="19"/>
        <v>0</v>
      </c>
      <c r="S85" s="171">
        <f t="shared" si="20"/>
        <v>100</v>
      </c>
      <c r="T85" s="129"/>
    </row>
    <row r="86" spans="1:20" s="7" customFormat="1" ht="46.5" customHeight="1">
      <c r="A86" s="7">
        <v>2</v>
      </c>
      <c r="B86" s="7">
        <v>20</v>
      </c>
      <c r="C86" s="59" t="s">
        <v>19</v>
      </c>
      <c r="D86" s="59" t="s">
        <v>466</v>
      </c>
      <c r="E86" s="59" t="s">
        <v>467</v>
      </c>
      <c r="F86" s="116" t="s">
        <v>18</v>
      </c>
      <c r="G86" s="62" t="s">
        <v>20</v>
      </c>
      <c r="H86" s="166">
        <f>SUM(H87:H91)</f>
        <v>1134</v>
      </c>
      <c r="I86" s="166">
        <f>SUM(I87:I91)</f>
        <v>597.3</v>
      </c>
      <c r="J86" s="176">
        <f t="shared" si="15"/>
        <v>52.67195767195767</v>
      </c>
      <c r="K86" s="166"/>
      <c r="L86" s="166">
        <f>SUM(L78:L85)</f>
        <v>0</v>
      </c>
      <c r="M86" s="166"/>
      <c r="N86" s="166"/>
      <c r="O86" s="169"/>
      <c r="P86" s="170">
        <f t="shared" si="17"/>
        <v>1134</v>
      </c>
      <c r="Q86" s="170">
        <f t="shared" si="18"/>
        <v>597.3</v>
      </c>
      <c r="R86" s="171">
        <f t="shared" si="19"/>
        <v>-536.7</v>
      </c>
      <c r="S86" s="171">
        <f t="shared" si="20"/>
        <v>52.67195767195767</v>
      </c>
      <c r="T86" s="129"/>
    </row>
    <row r="87" spans="3:20" s="7" customFormat="1" ht="42.75" customHeight="1">
      <c r="C87" s="59" t="s">
        <v>468</v>
      </c>
      <c r="D87" s="32" t="s">
        <v>472</v>
      </c>
      <c r="E87" s="32" t="s">
        <v>467</v>
      </c>
      <c r="F87" s="115"/>
      <c r="G87" s="66" t="s">
        <v>415</v>
      </c>
      <c r="H87" s="166">
        <v>130</v>
      </c>
      <c r="I87" s="166">
        <v>69.7</v>
      </c>
      <c r="J87" s="176">
        <f t="shared" si="15"/>
        <v>53.61538461538462</v>
      </c>
      <c r="K87" s="166"/>
      <c r="L87" s="166"/>
      <c r="M87" s="166"/>
      <c r="N87" s="166"/>
      <c r="O87" s="169"/>
      <c r="P87" s="170">
        <f t="shared" si="17"/>
        <v>130</v>
      </c>
      <c r="Q87" s="170">
        <f t="shared" si="18"/>
        <v>69.7</v>
      </c>
      <c r="R87" s="171">
        <f t="shared" si="19"/>
        <v>-60.3</v>
      </c>
      <c r="S87" s="171">
        <f t="shared" si="20"/>
        <v>53.61538461538462</v>
      </c>
      <c r="T87" s="129"/>
    </row>
    <row r="88" spans="3:20" s="7" customFormat="1" ht="45" customHeight="1">
      <c r="C88" s="59" t="s">
        <v>469</v>
      </c>
      <c r="D88" s="32" t="s">
        <v>473</v>
      </c>
      <c r="E88" s="59" t="s">
        <v>467</v>
      </c>
      <c r="F88" s="115"/>
      <c r="G88" s="66" t="s">
        <v>22</v>
      </c>
      <c r="H88" s="166">
        <v>72</v>
      </c>
      <c r="I88" s="166">
        <v>25.2</v>
      </c>
      <c r="J88" s="176">
        <f t="shared" si="15"/>
        <v>35</v>
      </c>
      <c r="K88" s="166"/>
      <c r="L88" s="166"/>
      <c r="M88" s="166"/>
      <c r="N88" s="166"/>
      <c r="O88" s="169"/>
      <c r="P88" s="170">
        <f t="shared" si="17"/>
        <v>72</v>
      </c>
      <c r="Q88" s="170">
        <f t="shared" si="18"/>
        <v>25.2</v>
      </c>
      <c r="R88" s="171">
        <f t="shared" si="19"/>
        <v>-46.8</v>
      </c>
      <c r="S88" s="171">
        <f t="shared" si="20"/>
        <v>35</v>
      </c>
      <c r="T88" s="129"/>
    </row>
    <row r="89" spans="3:20" s="7" customFormat="1" ht="45" customHeight="1">
      <c r="C89" s="59" t="s">
        <v>470</v>
      </c>
      <c r="D89" s="32" t="s">
        <v>474</v>
      </c>
      <c r="E89" s="32" t="s">
        <v>467</v>
      </c>
      <c r="F89" s="115"/>
      <c r="G89" s="66" t="s">
        <v>341</v>
      </c>
      <c r="H89" s="166">
        <v>236</v>
      </c>
      <c r="I89" s="166">
        <v>120</v>
      </c>
      <c r="J89" s="176">
        <f t="shared" si="15"/>
        <v>50.847457627118644</v>
      </c>
      <c r="K89" s="166"/>
      <c r="L89" s="166"/>
      <c r="M89" s="166"/>
      <c r="N89" s="166"/>
      <c r="O89" s="169"/>
      <c r="P89" s="170">
        <f t="shared" si="17"/>
        <v>236</v>
      </c>
      <c r="Q89" s="170">
        <f t="shared" si="18"/>
        <v>120</v>
      </c>
      <c r="R89" s="171">
        <f t="shared" si="19"/>
        <v>-116</v>
      </c>
      <c r="S89" s="171">
        <f t="shared" si="20"/>
        <v>50.847457627118644</v>
      </c>
      <c r="T89" s="129"/>
    </row>
    <row r="90" spans="3:20" s="7" customFormat="1" ht="45" customHeight="1">
      <c r="C90" s="59" t="s">
        <v>471</v>
      </c>
      <c r="D90" s="32" t="s">
        <v>475</v>
      </c>
      <c r="E90" s="59" t="s">
        <v>467</v>
      </c>
      <c r="F90" s="115"/>
      <c r="G90" s="66" t="s">
        <v>21</v>
      </c>
      <c r="H90" s="166">
        <v>59.7</v>
      </c>
      <c r="I90" s="166">
        <v>59.3</v>
      </c>
      <c r="J90" s="176">
        <f t="shared" si="15"/>
        <v>99.32998324958123</v>
      </c>
      <c r="K90" s="166"/>
      <c r="L90" s="166"/>
      <c r="M90" s="166"/>
      <c r="N90" s="166"/>
      <c r="O90" s="169"/>
      <c r="P90" s="170">
        <f t="shared" si="17"/>
        <v>59.7</v>
      </c>
      <c r="Q90" s="170">
        <f t="shared" si="18"/>
        <v>59.3</v>
      </c>
      <c r="R90" s="171">
        <f t="shared" si="19"/>
        <v>-0.4000000000000057</v>
      </c>
      <c r="S90" s="171">
        <f t="shared" si="20"/>
        <v>99.32998324958123</v>
      </c>
      <c r="T90" s="129"/>
    </row>
    <row r="91" spans="3:20" s="7" customFormat="1" ht="48">
      <c r="C91" s="59" t="s">
        <v>713</v>
      </c>
      <c r="D91" s="32" t="s">
        <v>714</v>
      </c>
      <c r="E91" s="59" t="s">
        <v>467</v>
      </c>
      <c r="F91" s="115"/>
      <c r="G91" s="66" t="s">
        <v>715</v>
      </c>
      <c r="H91" s="166">
        <v>636.3</v>
      </c>
      <c r="I91" s="166">
        <v>323.1</v>
      </c>
      <c r="J91" s="176">
        <f t="shared" si="15"/>
        <v>50.77793493635079</v>
      </c>
      <c r="K91" s="166"/>
      <c r="L91" s="166"/>
      <c r="M91" s="166"/>
      <c r="N91" s="166"/>
      <c r="O91" s="169"/>
      <c r="P91" s="170">
        <f t="shared" si="17"/>
        <v>636.3</v>
      </c>
      <c r="Q91" s="170">
        <f t="shared" si="18"/>
        <v>323.1</v>
      </c>
      <c r="R91" s="171">
        <f t="shared" si="19"/>
        <v>-313.19999999999993</v>
      </c>
      <c r="S91" s="171">
        <f t="shared" si="20"/>
        <v>50.77793493635079</v>
      </c>
      <c r="T91" s="129"/>
    </row>
    <row r="92" spans="1:21" s="7" customFormat="1" ht="83.25" customHeight="1">
      <c r="A92" s="7">
        <v>1</v>
      </c>
      <c r="B92" s="7">
        <v>22</v>
      </c>
      <c r="C92" s="32" t="s">
        <v>143</v>
      </c>
      <c r="D92" s="32" t="s">
        <v>482</v>
      </c>
      <c r="E92" s="32"/>
      <c r="F92" s="115"/>
      <c r="G92" s="43" t="s">
        <v>731</v>
      </c>
      <c r="H92" s="166">
        <f>SUM(H93:H99)</f>
        <v>12811.7</v>
      </c>
      <c r="I92" s="166">
        <f>SUM(I93:I99)</f>
        <v>10328</v>
      </c>
      <c r="J92" s="176">
        <f t="shared" si="15"/>
        <v>80.6138139356994</v>
      </c>
      <c r="K92" s="166"/>
      <c r="L92" s="166"/>
      <c r="M92" s="166"/>
      <c r="N92" s="166"/>
      <c r="O92" s="167">
        <f>SUM(O93:O98)</f>
        <v>0</v>
      </c>
      <c r="P92" s="170">
        <f t="shared" si="17"/>
        <v>12811.7</v>
      </c>
      <c r="Q92" s="170">
        <f t="shared" si="18"/>
        <v>10328</v>
      </c>
      <c r="R92" s="171">
        <f t="shared" si="19"/>
        <v>-2483.7000000000007</v>
      </c>
      <c r="S92" s="171">
        <f t="shared" si="20"/>
        <v>80.6138139356994</v>
      </c>
      <c r="T92" s="129">
        <f>SUM(T93:T98)</f>
        <v>0</v>
      </c>
      <c r="U92" s="22"/>
    </row>
    <row r="93" spans="3:20" s="7" customFormat="1" ht="279" customHeight="1">
      <c r="C93" s="35" t="s">
        <v>60</v>
      </c>
      <c r="D93" s="35" t="s">
        <v>643</v>
      </c>
      <c r="E93" s="35" t="s">
        <v>484</v>
      </c>
      <c r="F93" s="119" t="s">
        <v>220</v>
      </c>
      <c r="G93" s="37" t="s">
        <v>488</v>
      </c>
      <c r="H93" s="166">
        <v>1899.1</v>
      </c>
      <c r="I93" s="166">
        <v>1584.2</v>
      </c>
      <c r="J93" s="176">
        <f t="shared" si="15"/>
        <v>83.41846137644147</v>
      </c>
      <c r="K93" s="166"/>
      <c r="L93" s="166"/>
      <c r="M93" s="166"/>
      <c r="N93" s="166"/>
      <c r="O93" s="169"/>
      <c r="P93" s="170">
        <f t="shared" si="17"/>
        <v>1899.1</v>
      </c>
      <c r="Q93" s="170">
        <f t="shared" si="18"/>
        <v>1584.2</v>
      </c>
      <c r="R93" s="171">
        <f t="shared" si="19"/>
        <v>-314.89999999999986</v>
      </c>
      <c r="S93" s="171">
        <f t="shared" si="20"/>
        <v>83.41846137644147</v>
      </c>
      <c r="T93" s="129"/>
    </row>
    <row r="94" spans="3:20" s="7" customFormat="1" ht="409.5" customHeight="1">
      <c r="C94" s="44"/>
      <c r="D94" s="44"/>
      <c r="E94" s="44"/>
      <c r="F94" s="123"/>
      <c r="G94" s="37" t="s">
        <v>618</v>
      </c>
      <c r="H94" s="170"/>
      <c r="I94" s="183"/>
      <c r="J94" s="171"/>
      <c r="K94" s="170"/>
      <c r="L94" s="183"/>
      <c r="M94" s="170"/>
      <c r="N94" s="183"/>
      <c r="O94" s="242"/>
      <c r="P94" s="170">
        <f t="shared" si="17"/>
        <v>0</v>
      </c>
      <c r="Q94" s="170">
        <f t="shared" si="18"/>
        <v>0</v>
      </c>
      <c r="R94" s="171">
        <f t="shared" si="19"/>
        <v>0</v>
      </c>
      <c r="S94" s="171" t="e">
        <f t="shared" si="20"/>
        <v>#DIV/0!</v>
      </c>
      <c r="T94" s="138"/>
    </row>
    <row r="95" spans="3:20" s="7" customFormat="1" ht="327" customHeight="1">
      <c r="C95" s="35" t="s">
        <v>62</v>
      </c>
      <c r="D95" s="35" t="s">
        <v>483</v>
      </c>
      <c r="E95" s="35" t="s">
        <v>484</v>
      </c>
      <c r="F95" s="123" t="s">
        <v>222</v>
      </c>
      <c r="G95" s="37" t="s">
        <v>489</v>
      </c>
      <c r="H95" s="170">
        <v>314.3</v>
      </c>
      <c r="I95" s="183">
        <v>263.4</v>
      </c>
      <c r="J95" s="171"/>
      <c r="K95" s="170"/>
      <c r="L95" s="183"/>
      <c r="M95" s="170"/>
      <c r="N95" s="183"/>
      <c r="O95" s="242"/>
      <c r="P95" s="170">
        <f t="shared" si="17"/>
        <v>314.3</v>
      </c>
      <c r="Q95" s="170">
        <f t="shared" si="18"/>
        <v>263.4</v>
      </c>
      <c r="R95" s="171">
        <f t="shared" si="19"/>
        <v>-50.900000000000034</v>
      </c>
      <c r="S95" s="171">
        <f t="shared" si="20"/>
        <v>83.80528157811008</v>
      </c>
      <c r="T95" s="138"/>
    </row>
    <row r="96" spans="3:20" s="7" customFormat="1" ht="131.25" customHeight="1">
      <c r="C96" s="35" t="s">
        <v>63</v>
      </c>
      <c r="D96" s="35" t="s">
        <v>485</v>
      </c>
      <c r="E96" s="35" t="s">
        <v>460</v>
      </c>
      <c r="F96" s="119" t="s">
        <v>238</v>
      </c>
      <c r="G96" s="37" t="s">
        <v>490</v>
      </c>
      <c r="H96" s="166">
        <v>1452.4</v>
      </c>
      <c r="I96" s="170">
        <v>1155.7</v>
      </c>
      <c r="J96" s="176">
        <f>I96/H96*100</f>
        <v>79.57174332139905</v>
      </c>
      <c r="K96" s="170"/>
      <c r="L96" s="170"/>
      <c r="M96" s="170"/>
      <c r="N96" s="170"/>
      <c r="O96" s="172"/>
      <c r="P96" s="170">
        <f t="shared" si="17"/>
        <v>1452.4</v>
      </c>
      <c r="Q96" s="170">
        <f t="shared" si="18"/>
        <v>1155.7</v>
      </c>
      <c r="R96" s="171">
        <f t="shared" si="19"/>
        <v>-296.70000000000005</v>
      </c>
      <c r="S96" s="171">
        <f t="shared" si="20"/>
        <v>79.57174332139905</v>
      </c>
      <c r="T96" s="133"/>
    </row>
    <row r="97" spans="3:20" s="39" customFormat="1" ht="67.5" customHeight="1">
      <c r="C97" s="35" t="s">
        <v>69</v>
      </c>
      <c r="D97" s="35" t="s">
        <v>487</v>
      </c>
      <c r="E97" s="35" t="s">
        <v>460</v>
      </c>
      <c r="F97" s="119" t="s">
        <v>47</v>
      </c>
      <c r="G97" s="37" t="s">
        <v>491</v>
      </c>
      <c r="H97" s="166">
        <v>154.2</v>
      </c>
      <c r="I97" s="170">
        <v>133.4</v>
      </c>
      <c r="J97" s="176">
        <f>I97/H97*100</f>
        <v>86.51102464332038</v>
      </c>
      <c r="K97" s="170"/>
      <c r="L97" s="170"/>
      <c r="M97" s="170"/>
      <c r="N97" s="170"/>
      <c r="O97" s="172"/>
      <c r="P97" s="170">
        <f t="shared" si="17"/>
        <v>154.2</v>
      </c>
      <c r="Q97" s="170">
        <f t="shared" si="18"/>
        <v>133.4</v>
      </c>
      <c r="R97" s="171">
        <f t="shared" si="19"/>
        <v>-20.799999999999983</v>
      </c>
      <c r="S97" s="171">
        <f t="shared" si="20"/>
        <v>86.51102464332038</v>
      </c>
      <c r="T97" s="133"/>
    </row>
    <row r="98" spans="3:20" s="39" customFormat="1" ht="63" customHeight="1">
      <c r="C98" s="35" t="s">
        <v>79</v>
      </c>
      <c r="D98" s="35" t="s">
        <v>486</v>
      </c>
      <c r="E98" s="35" t="s">
        <v>465</v>
      </c>
      <c r="F98" s="119" t="s">
        <v>201</v>
      </c>
      <c r="G98" s="45" t="s">
        <v>492</v>
      </c>
      <c r="H98" s="166">
        <v>8991.7</v>
      </c>
      <c r="I98" s="170">
        <v>7191.3</v>
      </c>
      <c r="J98" s="176">
        <f>I98/H98*100</f>
        <v>79.97708998298431</v>
      </c>
      <c r="K98" s="170"/>
      <c r="L98" s="170"/>
      <c r="M98" s="170"/>
      <c r="N98" s="170"/>
      <c r="O98" s="172"/>
      <c r="P98" s="170">
        <f t="shared" si="17"/>
        <v>8991.7</v>
      </c>
      <c r="Q98" s="170">
        <f t="shared" si="18"/>
        <v>7191.3</v>
      </c>
      <c r="R98" s="171">
        <f t="shared" si="19"/>
        <v>-1800.4000000000005</v>
      </c>
      <c r="S98" s="171">
        <f t="shared" si="20"/>
        <v>79.97708998298431</v>
      </c>
      <c r="T98" s="133"/>
    </row>
    <row r="99" spans="3:20" s="39" customFormat="1" ht="83.25" customHeight="1" hidden="1">
      <c r="C99" s="35" t="s">
        <v>159</v>
      </c>
      <c r="D99" s="35" t="s">
        <v>496</v>
      </c>
      <c r="E99" s="35" t="s">
        <v>465</v>
      </c>
      <c r="F99" s="119" t="s">
        <v>160</v>
      </c>
      <c r="G99" s="45" t="s">
        <v>493</v>
      </c>
      <c r="H99" s="166">
        <f>I99+L99</f>
        <v>0</v>
      </c>
      <c r="I99" s="170"/>
      <c r="J99" s="176" t="e">
        <f>I99/H99*100</f>
        <v>#DIV/0!</v>
      </c>
      <c r="K99" s="170"/>
      <c r="L99" s="170"/>
      <c r="M99" s="170"/>
      <c r="N99" s="170"/>
      <c r="O99" s="172"/>
      <c r="P99" s="170">
        <f t="shared" si="17"/>
        <v>0</v>
      </c>
      <c r="Q99" s="170">
        <f t="shared" si="18"/>
        <v>0</v>
      </c>
      <c r="R99" s="171">
        <f t="shared" si="19"/>
        <v>0</v>
      </c>
      <c r="S99" s="171" t="e">
        <f t="shared" si="20"/>
        <v>#DIV/0!</v>
      </c>
      <c r="T99" s="133"/>
    </row>
    <row r="100" spans="1:21" s="7" customFormat="1" ht="63" customHeight="1">
      <c r="A100" s="7">
        <v>2</v>
      </c>
      <c r="B100" s="7">
        <v>23</v>
      </c>
      <c r="C100" s="32" t="s">
        <v>144</v>
      </c>
      <c r="D100" s="32" t="s">
        <v>647</v>
      </c>
      <c r="E100" s="32"/>
      <c r="F100" s="115"/>
      <c r="G100" s="33" t="s">
        <v>494</v>
      </c>
      <c r="H100" s="166">
        <f>H103+H104</f>
        <v>3.0999999999999996</v>
      </c>
      <c r="I100" s="166">
        <f>I103+I104</f>
        <v>1.9000000000000001</v>
      </c>
      <c r="J100" s="176">
        <f>I100/H100*100</f>
        <v>61.290322580645174</v>
      </c>
      <c r="K100" s="166"/>
      <c r="L100" s="166"/>
      <c r="M100" s="166"/>
      <c r="N100" s="166"/>
      <c r="O100" s="167"/>
      <c r="P100" s="170">
        <f t="shared" si="17"/>
        <v>3.0999999999999996</v>
      </c>
      <c r="Q100" s="170">
        <f t="shared" si="18"/>
        <v>1.9000000000000001</v>
      </c>
      <c r="R100" s="171">
        <f t="shared" si="19"/>
        <v>-1.1999999999999995</v>
      </c>
      <c r="S100" s="171">
        <f t="shared" si="20"/>
        <v>61.290322580645174</v>
      </c>
      <c r="T100" s="129">
        <f>SUM(T101:T104)</f>
        <v>0</v>
      </c>
      <c r="U100" s="22"/>
    </row>
    <row r="101" spans="3:20" s="39" customFormat="1" ht="255.75" customHeight="1" hidden="1">
      <c r="C101" s="35" t="s">
        <v>61</v>
      </c>
      <c r="D101" s="35" t="s">
        <v>497</v>
      </c>
      <c r="E101" s="35" t="s">
        <v>484</v>
      </c>
      <c r="F101" s="119" t="s">
        <v>221</v>
      </c>
      <c r="G101" s="37" t="s">
        <v>504</v>
      </c>
      <c r="H101" s="166">
        <f>I101+L101</f>
        <v>0</v>
      </c>
      <c r="I101" s="170">
        <f>0.55-0.39101+0.14197-0.30096</f>
        <v>0</v>
      </c>
      <c r="J101" s="171"/>
      <c r="K101" s="170"/>
      <c r="L101" s="170"/>
      <c r="M101" s="170"/>
      <c r="N101" s="170"/>
      <c r="O101" s="172"/>
      <c r="P101" s="170">
        <f t="shared" si="17"/>
        <v>0</v>
      </c>
      <c r="Q101" s="170">
        <f t="shared" si="18"/>
        <v>0</v>
      </c>
      <c r="R101" s="171">
        <f t="shared" si="19"/>
        <v>0</v>
      </c>
      <c r="S101" s="171" t="e">
        <f t="shared" si="20"/>
        <v>#DIV/0!</v>
      </c>
      <c r="T101" s="133"/>
    </row>
    <row r="102" spans="3:20" s="46" customFormat="1" ht="33.75" customHeight="1" hidden="1">
      <c r="C102" s="35" t="s">
        <v>498</v>
      </c>
      <c r="D102" s="47" t="s">
        <v>499</v>
      </c>
      <c r="E102" s="47" t="s">
        <v>484</v>
      </c>
      <c r="F102" s="119" t="s">
        <v>245</v>
      </c>
      <c r="G102" s="37" t="s">
        <v>505</v>
      </c>
      <c r="H102" s="166">
        <f>I102+L102</f>
        <v>0</v>
      </c>
      <c r="I102" s="184"/>
      <c r="J102" s="185"/>
      <c r="K102" s="186"/>
      <c r="L102" s="186"/>
      <c r="M102" s="170"/>
      <c r="N102" s="170"/>
      <c r="O102" s="172"/>
      <c r="P102" s="170">
        <f t="shared" si="17"/>
        <v>0</v>
      </c>
      <c r="Q102" s="170">
        <f t="shared" si="18"/>
        <v>0</v>
      </c>
      <c r="R102" s="171">
        <f t="shared" si="19"/>
        <v>0</v>
      </c>
      <c r="S102" s="171" t="e">
        <f t="shared" si="20"/>
        <v>#DIV/0!</v>
      </c>
      <c r="T102" s="139"/>
    </row>
    <row r="103" spans="3:20" s="39" customFormat="1" ht="117.75" customHeight="1">
      <c r="C103" s="35" t="s">
        <v>64</v>
      </c>
      <c r="D103" s="35" t="s">
        <v>500</v>
      </c>
      <c r="E103" s="35" t="s">
        <v>460</v>
      </c>
      <c r="F103" s="119" t="s">
        <v>246</v>
      </c>
      <c r="G103" s="37" t="s">
        <v>495</v>
      </c>
      <c r="H103" s="166">
        <v>1.9</v>
      </c>
      <c r="I103" s="170">
        <v>1.1</v>
      </c>
      <c r="J103" s="176">
        <f aca="true" t="shared" si="21" ref="J103:J172">I103/H103*100</f>
        <v>57.89473684210527</v>
      </c>
      <c r="K103" s="170"/>
      <c r="L103" s="170"/>
      <c r="M103" s="170"/>
      <c r="N103" s="170"/>
      <c r="O103" s="172"/>
      <c r="P103" s="170">
        <f t="shared" si="17"/>
        <v>1.9</v>
      </c>
      <c r="Q103" s="170">
        <f t="shared" si="18"/>
        <v>1.1</v>
      </c>
      <c r="R103" s="171">
        <f t="shared" si="19"/>
        <v>-0.7999999999999998</v>
      </c>
      <c r="S103" s="171">
        <f t="shared" si="20"/>
        <v>57.89473684210527</v>
      </c>
      <c r="T103" s="133"/>
    </row>
    <row r="104" spans="3:20" s="46" customFormat="1" ht="78.75" customHeight="1">
      <c r="C104" s="35" t="s">
        <v>80</v>
      </c>
      <c r="D104" s="35" t="s">
        <v>502</v>
      </c>
      <c r="E104" s="35" t="s">
        <v>465</v>
      </c>
      <c r="F104" s="119" t="s">
        <v>274</v>
      </c>
      <c r="G104" s="45" t="s">
        <v>501</v>
      </c>
      <c r="H104" s="166">
        <v>1.2</v>
      </c>
      <c r="I104" s="170">
        <v>0.8</v>
      </c>
      <c r="J104" s="176">
        <f t="shared" si="21"/>
        <v>66.66666666666667</v>
      </c>
      <c r="K104" s="170"/>
      <c r="L104" s="170"/>
      <c r="M104" s="170"/>
      <c r="N104" s="170"/>
      <c r="O104" s="172"/>
      <c r="P104" s="170">
        <f t="shared" si="17"/>
        <v>1.2</v>
      </c>
      <c r="Q104" s="170">
        <f t="shared" si="18"/>
        <v>0.8</v>
      </c>
      <c r="R104" s="171">
        <f t="shared" si="19"/>
        <v>-0.3999999999999999</v>
      </c>
      <c r="S104" s="171">
        <f t="shared" si="20"/>
        <v>66.66666666666667</v>
      </c>
      <c r="T104" s="133"/>
    </row>
    <row r="105" spans="1:21" s="68" customFormat="1" ht="204" customHeight="1">
      <c r="A105" s="68">
        <v>3</v>
      </c>
      <c r="B105" s="78">
        <v>24</v>
      </c>
      <c r="C105" s="32" t="s">
        <v>147</v>
      </c>
      <c r="D105" s="32" t="s">
        <v>503</v>
      </c>
      <c r="E105" s="32" t="s">
        <v>484</v>
      </c>
      <c r="F105" s="115"/>
      <c r="G105" s="33" t="s">
        <v>506</v>
      </c>
      <c r="H105" s="166">
        <f>H108+H112+H114+H106+H110</f>
        <v>1965.1</v>
      </c>
      <c r="I105" s="166">
        <f>I108+I112+I114+I106+I110</f>
        <v>1491.6</v>
      </c>
      <c r="J105" s="176">
        <f t="shared" si="21"/>
        <v>75.904534120401</v>
      </c>
      <c r="K105" s="166"/>
      <c r="L105" s="166"/>
      <c r="M105" s="166"/>
      <c r="N105" s="166"/>
      <c r="O105" s="167"/>
      <c r="P105" s="170">
        <f t="shared" si="17"/>
        <v>1965.1</v>
      </c>
      <c r="Q105" s="170">
        <f t="shared" si="18"/>
        <v>1491.6</v>
      </c>
      <c r="R105" s="171">
        <f t="shared" si="19"/>
        <v>-473.5</v>
      </c>
      <c r="S105" s="171">
        <f t="shared" si="20"/>
        <v>75.904534120401</v>
      </c>
      <c r="T105" s="14">
        <f>T108+T112+T114+T106</f>
        <v>0</v>
      </c>
      <c r="U105" s="22"/>
    </row>
    <row r="106" spans="2:21" s="46" customFormat="1" ht="259.5" customHeight="1">
      <c r="B106" s="152"/>
      <c r="C106" s="35" t="s">
        <v>682</v>
      </c>
      <c r="D106" s="35" t="s">
        <v>683</v>
      </c>
      <c r="E106" s="35" t="s">
        <v>484</v>
      </c>
      <c r="F106" s="119"/>
      <c r="G106" s="45" t="s">
        <v>681</v>
      </c>
      <c r="H106" s="170">
        <f>H107</f>
        <v>75</v>
      </c>
      <c r="I106" s="170">
        <f>I107</f>
        <v>0</v>
      </c>
      <c r="J106" s="176">
        <f t="shared" si="21"/>
        <v>0</v>
      </c>
      <c r="K106" s="170"/>
      <c r="L106" s="170"/>
      <c r="M106" s="170"/>
      <c r="N106" s="170"/>
      <c r="O106" s="171"/>
      <c r="P106" s="170">
        <f t="shared" si="17"/>
        <v>75</v>
      </c>
      <c r="Q106" s="170">
        <f t="shared" si="18"/>
        <v>0</v>
      </c>
      <c r="R106" s="171">
        <f t="shared" si="19"/>
        <v>-75</v>
      </c>
      <c r="S106" s="171">
        <f t="shared" si="20"/>
        <v>0</v>
      </c>
      <c r="T106" s="38">
        <f>T107</f>
        <v>0</v>
      </c>
      <c r="U106" s="54"/>
    </row>
    <row r="107" spans="2:21" s="68" customFormat="1" ht="40.5" customHeight="1">
      <c r="B107" s="78"/>
      <c r="C107" s="32"/>
      <c r="D107" s="32"/>
      <c r="E107" s="32"/>
      <c r="F107" s="115"/>
      <c r="G107" s="37" t="s">
        <v>508</v>
      </c>
      <c r="H107" s="170">
        <v>75</v>
      </c>
      <c r="I107" s="187">
        <v>0</v>
      </c>
      <c r="J107" s="176">
        <f t="shared" si="21"/>
        <v>0</v>
      </c>
      <c r="K107" s="170"/>
      <c r="L107" s="170"/>
      <c r="M107" s="170"/>
      <c r="N107" s="170"/>
      <c r="O107" s="172"/>
      <c r="P107" s="170">
        <f t="shared" si="17"/>
        <v>75</v>
      </c>
      <c r="Q107" s="170">
        <f t="shared" si="18"/>
        <v>0</v>
      </c>
      <c r="R107" s="171">
        <f t="shared" si="19"/>
        <v>-75</v>
      </c>
      <c r="S107" s="171">
        <f t="shared" si="20"/>
        <v>0</v>
      </c>
      <c r="T107" s="133"/>
      <c r="U107" s="22"/>
    </row>
    <row r="108" spans="2:21" s="46" customFormat="1" ht="101.25" customHeight="1">
      <c r="B108" s="152"/>
      <c r="C108" s="35" t="s">
        <v>649</v>
      </c>
      <c r="D108" s="35" t="s">
        <v>650</v>
      </c>
      <c r="E108" s="35" t="s">
        <v>460</v>
      </c>
      <c r="F108" s="119"/>
      <c r="G108" s="45" t="s">
        <v>686</v>
      </c>
      <c r="H108" s="170">
        <f>H109</f>
        <v>29</v>
      </c>
      <c r="I108" s="170">
        <f>I109</f>
        <v>11.6</v>
      </c>
      <c r="J108" s="176">
        <f t="shared" si="21"/>
        <v>40</v>
      </c>
      <c r="K108" s="170"/>
      <c r="L108" s="170"/>
      <c r="M108" s="170"/>
      <c r="N108" s="170"/>
      <c r="O108" s="171"/>
      <c r="P108" s="170">
        <f t="shared" si="17"/>
        <v>29</v>
      </c>
      <c r="Q108" s="170">
        <f t="shared" si="18"/>
        <v>11.6</v>
      </c>
      <c r="R108" s="171">
        <f t="shared" si="19"/>
        <v>-17.4</v>
      </c>
      <c r="S108" s="171">
        <f t="shared" si="20"/>
        <v>40</v>
      </c>
      <c r="T108" s="38">
        <f>T109</f>
        <v>0</v>
      </c>
      <c r="U108" s="54"/>
    </row>
    <row r="109" spans="2:21" s="46" customFormat="1" ht="37.5" customHeight="1">
      <c r="B109" s="152"/>
      <c r="C109" s="35"/>
      <c r="D109" s="35"/>
      <c r="E109" s="35"/>
      <c r="F109" s="119"/>
      <c r="G109" s="45" t="s">
        <v>508</v>
      </c>
      <c r="H109" s="170">
        <v>29</v>
      </c>
      <c r="I109" s="187">
        <v>11.6</v>
      </c>
      <c r="J109" s="176">
        <f t="shared" si="21"/>
        <v>40</v>
      </c>
      <c r="K109" s="170"/>
      <c r="L109" s="170"/>
      <c r="M109" s="170"/>
      <c r="N109" s="170"/>
      <c r="O109" s="172"/>
      <c r="P109" s="170">
        <f t="shared" si="17"/>
        <v>29</v>
      </c>
      <c r="Q109" s="170">
        <f t="shared" si="18"/>
        <v>11.6</v>
      </c>
      <c r="R109" s="171">
        <f t="shared" si="19"/>
        <v>-17.4</v>
      </c>
      <c r="S109" s="171">
        <f t="shared" si="20"/>
        <v>40</v>
      </c>
      <c r="T109" s="133"/>
      <c r="U109" s="54"/>
    </row>
    <row r="110" spans="2:21" s="46" customFormat="1" ht="42.75" customHeight="1">
      <c r="B110" s="152"/>
      <c r="C110" s="35" t="s">
        <v>684</v>
      </c>
      <c r="D110" s="35" t="s">
        <v>685</v>
      </c>
      <c r="E110" s="35" t="s">
        <v>460</v>
      </c>
      <c r="F110" s="119"/>
      <c r="G110" s="45" t="s">
        <v>687</v>
      </c>
      <c r="H110" s="170">
        <f>H111</f>
        <v>261.1</v>
      </c>
      <c r="I110" s="170">
        <f>I111</f>
        <v>220.8</v>
      </c>
      <c r="J110" s="176">
        <f t="shared" si="21"/>
        <v>84.56530065109153</v>
      </c>
      <c r="K110" s="170"/>
      <c r="L110" s="170"/>
      <c r="M110" s="170"/>
      <c r="N110" s="170"/>
      <c r="O110" s="171"/>
      <c r="P110" s="170">
        <f t="shared" si="17"/>
        <v>261.1</v>
      </c>
      <c r="Q110" s="170">
        <f t="shared" si="18"/>
        <v>220.8</v>
      </c>
      <c r="R110" s="171">
        <f t="shared" si="19"/>
        <v>-40.30000000000001</v>
      </c>
      <c r="S110" s="171">
        <f t="shared" si="20"/>
        <v>84.56530065109153</v>
      </c>
      <c r="T110" s="38">
        <f>T111</f>
        <v>0</v>
      </c>
      <c r="U110" s="54"/>
    </row>
    <row r="111" spans="2:21" s="46" customFormat="1" ht="42.75" customHeight="1">
      <c r="B111" s="152"/>
      <c r="C111" s="35"/>
      <c r="D111" s="35"/>
      <c r="E111" s="35"/>
      <c r="F111" s="119"/>
      <c r="G111" s="45" t="s">
        <v>508</v>
      </c>
      <c r="H111" s="170">
        <v>261.1</v>
      </c>
      <c r="I111" s="187">
        <v>220.8</v>
      </c>
      <c r="J111" s="176">
        <f t="shared" si="21"/>
        <v>84.56530065109153</v>
      </c>
      <c r="K111" s="170"/>
      <c r="L111" s="170"/>
      <c r="M111" s="170"/>
      <c r="N111" s="170"/>
      <c r="O111" s="172"/>
      <c r="P111" s="170">
        <f t="shared" si="17"/>
        <v>261.1</v>
      </c>
      <c r="Q111" s="170">
        <f t="shared" si="18"/>
        <v>220.8</v>
      </c>
      <c r="R111" s="171">
        <f t="shared" si="19"/>
        <v>-40.30000000000001</v>
      </c>
      <c r="S111" s="171">
        <f t="shared" si="20"/>
        <v>84.56530065109153</v>
      </c>
      <c r="T111" s="133"/>
      <c r="U111" s="54"/>
    </row>
    <row r="112" spans="3:20" s="39" customFormat="1" ht="60.75" customHeight="1">
      <c r="C112" s="35" t="s">
        <v>99</v>
      </c>
      <c r="D112" s="35" t="s">
        <v>507</v>
      </c>
      <c r="E112" s="35" t="s">
        <v>460</v>
      </c>
      <c r="F112" s="119" t="s">
        <v>200</v>
      </c>
      <c r="G112" s="37" t="s">
        <v>688</v>
      </c>
      <c r="H112" s="170">
        <f>H113</f>
        <v>1533</v>
      </c>
      <c r="I112" s="170">
        <f>I113</f>
        <v>1208.9</v>
      </c>
      <c r="J112" s="176">
        <f t="shared" si="21"/>
        <v>78.85844748858449</v>
      </c>
      <c r="K112" s="170"/>
      <c r="L112" s="170"/>
      <c r="M112" s="170"/>
      <c r="N112" s="170"/>
      <c r="O112" s="171"/>
      <c r="P112" s="170">
        <f t="shared" si="17"/>
        <v>1533</v>
      </c>
      <c r="Q112" s="170">
        <f t="shared" si="18"/>
        <v>1208.9</v>
      </c>
      <c r="R112" s="171">
        <f t="shared" si="19"/>
        <v>-324.0999999999999</v>
      </c>
      <c r="S112" s="171">
        <f t="shared" si="20"/>
        <v>78.85844748858449</v>
      </c>
      <c r="T112" s="133">
        <f>SUM(T113:T113)</f>
        <v>0</v>
      </c>
    </row>
    <row r="113" spans="3:20" s="39" customFormat="1" ht="40.5" customHeight="1">
      <c r="C113" s="35"/>
      <c r="D113" s="35"/>
      <c r="E113" s="35"/>
      <c r="F113" s="119"/>
      <c r="G113" s="45" t="s">
        <v>508</v>
      </c>
      <c r="H113" s="170">
        <v>1533</v>
      </c>
      <c r="I113" s="187">
        <v>1208.9</v>
      </c>
      <c r="J113" s="176">
        <f t="shared" si="21"/>
        <v>78.85844748858449</v>
      </c>
      <c r="K113" s="170"/>
      <c r="L113" s="170"/>
      <c r="M113" s="170"/>
      <c r="N113" s="170"/>
      <c r="O113" s="172"/>
      <c r="P113" s="170">
        <f t="shared" si="17"/>
        <v>1533</v>
      </c>
      <c r="Q113" s="170">
        <f t="shared" si="18"/>
        <v>1208.9</v>
      </c>
      <c r="R113" s="171">
        <f t="shared" si="19"/>
        <v>-324.0999999999999</v>
      </c>
      <c r="S113" s="171">
        <f t="shared" si="20"/>
        <v>78.85844748858449</v>
      </c>
      <c r="T113" s="133"/>
    </row>
    <row r="114" spans="3:20" s="39" customFormat="1" ht="46.5" customHeight="1">
      <c r="C114" s="35" t="s">
        <v>100</v>
      </c>
      <c r="D114" s="35" t="s">
        <v>509</v>
      </c>
      <c r="E114" s="35" t="s">
        <v>460</v>
      </c>
      <c r="F114" s="119" t="s">
        <v>241</v>
      </c>
      <c r="G114" s="37" t="s">
        <v>645</v>
      </c>
      <c r="H114" s="170">
        <f>H115</f>
        <v>67</v>
      </c>
      <c r="I114" s="170">
        <f>I115</f>
        <v>50.3</v>
      </c>
      <c r="J114" s="176">
        <f t="shared" si="21"/>
        <v>75.07462686567163</v>
      </c>
      <c r="K114" s="170"/>
      <c r="L114" s="170"/>
      <c r="M114" s="170"/>
      <c r="N114" s="170"/>
      <c r="O114" s="171"/>
      <c r="P114" s="170">
        <f t="shared" si="17"/>
        <v>67</v>
      </c>
      <c r="Q114" s="170">
        <f t="shared" si="18"/>
        <v>50.3</v>
      </c>
      <c r="R114" s="171">
        <f t="shared" si="19"/>
        <v>-16.700000000000003</v>
      </c>
      <c r="S114" s="171">
        <f t="shared" si="20"/>
        <v>75.07462686567163</v>
      </c>
      <c r="T114" s="38">
        <f>T115</f>
        <v>0</v>
      </c>
    </row>
    <row r="115" spans="3:20" s="39" customFormat="1" ht="42" customHeight="1">
      <c r="C115" s="35"/>
      <c r="D115" s="35"/>
      <c r="E115" s="35"/>
      <c r="F115" s="119"/>
      <c r="G115" s="45" t="s">
        <v>508</v>
      </c>
      <c r="H115" s="170">
        <v>67</v>
      </c>
      <c r="I115" s="187">
        <v>50.3</v>
      </c>
      <c r="J115" s="176">
        <f t="shared" si="21"/>
        <v>75.07462686567163</v>
      </c>
      <c r="K115" s="170"/>
      <c r="L115" s="170"/>
      <c r="M115" s="170"/>
      <c r="N115" s="170"/>
      <c r="O115" s="172"/>
      <c r="P115" s="170">
        <f t="shared" si="17"/>
        <v>67</v>
      </c>
      <c r="Q115" s="170">
        <f t="shared" si="18"/>
        <v>50.3</v>
      </c>
      <c r="R115" s="171">
        <f t="shared" si="19"/>
        <v>-16.700000000000003</v>
      </c>
      <c r="S115" s="171">
        <f t="shared" si="20"/>
        <v>75.07462686567163</v>
      </c>
      <c r="T115" s="133"/>
    </row>
    <row r="116" spans="1:21" s="7" customFormat="1" ht="73.5" customHeight="1">
      <c r="A116" s="7">
        <v>4</v>
      </c>
      <c r="B116" s="7">
        <v>25</v>
      </c>
      <c r="C116" s="32" t="s">
        <v>148</v>
      </c>
      <c r="D116" s="32" t="s">
        <v>510</v>
      </c>
      <c r="E116" s="32" t="s">
        <v>463</v>
      </c>
      <c r="F116" s="115"/>
      <c r="G116" s="43" t="s">
        <v>512</v>
      </c>
      <c r="H116" s="166">
        <f>H117+H118+H119+H120+H121+H122+H123+H124+H125</f>
        <v>40058.7</v>
      </c>
      <c r="I116" s="166">
        <f>I117+I118+I119+I120+I121+I122+I123+I124+I125</f>
        <v>28658</v>
      </c>
      <c r="J116" s="176">
        <f t="shared" si="21"/>
        <v>71.5400150279465</v>
      </c>
      <c r="K116" s="166"/>
      <c r="L116" s="166"/>
      <c r="M116" s="166"/>
      <c r="N116" s="166"/>
      <c r="O116" s="167"/>
      <c r="P116" s="170">
        <f t="shared" si="17"/>
        <v>40058.7</v>
      </c>
      <c r="Q116" s="170">
        <f t="shared" si="18"/>
        <v>28658</v>
      </c>
      <c r="R116" s="171">
        <f t="shared" si="19"/>
        <v>-11400.699999999997</v>
      </c>
      <c r="S116" s="171">
        <f t="shared" si="20"/>
        <v>71.5400150279465</v>
      </c>
      <c r="T116" s="129">
        <f>SUM(T117:T125)</f>
        <v>0</v>
      </c>
      <c r="U116" s="22"/>
    </row>
    <row r="117" spans="3:20" s="39" customFormat="1" ht="39" customHeight="1">
      <c r="C117" s="35" t="s">
        <v>70</v>
      </c>
      <c r="D117" s="35" t="s">
        <v>514</v>
      </c>
      <c r="E117" s="35" t="s">
        <v>463</v>
      </c>
      <c r="F117" s="119" t="s">
        <v>223</v>
      </c>
      <c r="G117" s="45" t="s">
        <v>511</v>
      </c>
      <c r="H117" s="170">
        <v>500</v>
      </c>
      <c r="I117" s="170">
        <v>272.6</v>
      </c>
      <c r="J117" s="176">
        <f t="shared" si="21"/>
        <v>54.52</v>
      </c>
      <c r="K117" s="170"/>
      <c r="L117" s="170"/>
      <c r="M117" s="170"/>
      <c r="N117" s="170"/>
      <c r="O117" s="172"/>
      <c r="P117" s="170">
        <f t="shared" si="17"/>
        <v>500</v>
      </c>
      <c r="Q117" s="170">
        <f t="shared" si="18"/>
        <v>272.6</v>
      </c>
      <c r="R117" s="171">
        <f t="shared" si="19"/>
        <v>-227.39999999999998</v>
      </c>
      <c r="S117" s="171">
        <f t="shared" si="20"/>
        <v>54.52</v>
      </c>
      <c r="T117" s="133"/>
    </row>
    <row r="118" spans="3:20" s="39" customFormat="1" ht="42.75" customHeight="1">
      <c r="C118" s="35" t="s">
        <v>71</v>
      </c>
      <c r="D118" s="35" t="s">
        <v>515</v>
      </c>
      <c r="E118" s="35" t="s">
        <v>463</v>
      </c>
      <c r="F118" s="119" t="s">
        <v>224</v>
      </c>
      <c r="G118" s="45" t="s">
        <v>641</v>
      </c>
      <c r="H118" s="170">
        <v>210</v>
      </c>
      <c r="I118" s="170">
        <v>23.5</v>
      </c>
      <c r="J118" s="176">
        <f t="shared" si="21"/>
        <v>11.190476190476192</v>
      </c>
      <c r="K118" s="170"/>
      <c r="L118" s="170"/>
      <c r="M118" s="170"/>
      <c r="N118" s="170"/>
      <c r="O118" s="172"/>
      <c r="P118" s="170">
        <f t="shared" si="17"/>
        <v>210</v>
      </c>
      <c r="Q118" s="170">
        <f t="shared" si="18"/>
        <v>23.5</v>
      </c>
      <c r="R118" s="171">
        <f t="shared" si="19"/>
        <v>-186.5</v>
      </c>
      <c r="S118" s="171">
        <f t="shared" si="20"/>
        <v>11.190476190476192</v>
      </c>
      <c r="T118" s="133"/>
    </row>
    <row r="119" spans="3:20" s="39" customFormat="1" ht="42.75" customHeight="1">
      <c r="C119" s="35" t="s">
        <v>72</v>
      </c>
      <c r="D119" s="35" t="s">
        <v>516</v>
      </c>
      <c r="E119" s="35" t="s">
        <v>463</v>
      </c>
      <c r="F119" s="119" t="s">
        <v>225</v>
      </c>
      <c r="G119" s="45" t="s">
        <v>513</v>
      </c>
      <c r="H119" s="170">
        <v>20929.4</v>
      </c>
      <c r="I119" s="170">
        <v>15047.6</v>
      </c>
      <c r="J119" s="176">
        <f t="shared" si="21"/>
        <v>71.89694878974075</v>
      </c>
      <c r="K119" s="170"/>
      <c r="L119" s="170"/>
      <c r="M119" s="170"/>
      <c r="N119" s="170"/>
      <c r="O119" s="172"/>
      <c r="P119" s="170">
        <f t="shared" si="17"/>
        <v>20929.4</v>
      </c>
      <c r="Q119" s="170">
        <f t="shared" si="18"/>
        <v>15047.6</v>
      </c>
      <c r="R119" s="171">
        <f t="shared" si="19"/>
        <v>-5881.800000000001</v>
      </c>
      <c r="S119" s="171">
        <f t="shared" si="20"/>
        <v>71.89694878974075</v>
      </c>
      <c r="T119" s="133"/>
    </row>
    <row r="120" spans="3:20" s="39" customFormat="1" ht="45" customHeight="1">
      <c r="C120" s="35" t="s">
        <v>73</v>
      </c>
      <c r="D120" s="35" t="s">
        <v>517</v>
      </c>
      <c r="E120" s="35" t="s">
        <v>463</v>
      </c>
      <c r="F120" s="119" t="s">
        <v>226</v>
      </c>
      <c r="G120" s="45" t="s">
        <v>524</v>
      </c>
      <c r="H120" s="170">
        <v>2923.8</v>
      </c>
      <c r="I120" s="170">
        <v>2061.7</v>
      </c>
      <c r="J120" s="176">
        <f t="shared" si="21"/>
        <v>70.5143990697038</v>
      </c>
      <c r="K120" s="170"/>
      <c r="L120" s="170"/>
      <c r="M120" s="170"/>
      <c r="N120" s="170"/>
      <c r="O120" s="172"/>
      <c r="P120" s="170">
        <f t="shared" si="17"/>
        <v>2923.8</v>
      </c>
      <c r="Q120" s="170">
        <f t="shared" si="18"/>
        <v>2061.7</v>
      </c>
      <c r="R120" s="171">
        <f t="shared" si="19"/>
        <v>-862.1000000000004</v>
      </c>
      <c r="S120" s="171">
        <f t="shared" si="20"/>
        <v>70.5143990697038</v>
      </c>
      <c r="T120" s="133"/>
    </row>
    <row r="121" spans="3:20" s="39" customFormat="1" ht="51.75" customHeight="1">
      <c r="C121" s="35" t="s">
        <v>74</v>
      </c>
      <c r="D121" s="35" t="s">
        <v>518</v>
      </c>
      <c r="E121" s="35" t="s">
        <v>463</v>
      </c>
      <c r="F121" s="119" t="s">
        <v>227</v>
      </c>
      <c r="G121" s="45" t="s">
        <v>75</v>
      </c>
      <c r="H121" s="170">
        <v>4043.4</v>
      </c>
      <c r="I121" s="170">
        <v>2742.5</v>
      </c>
      <c r="J121" s="176">
        <f t="shared" si="21"/>
        <v>67.8265815897512</v>
      </c>
      <c r="K121" s="170"/>
      <c r="L121" s="170"/>
      <c r="M121" s="170"/>
      <c r="N121" s="170"/>
      <c r="O121" s="172"/>
      <c r="P121" s="170">
        <f t="shared" si="17"/>
        <v>4043.4</v>
      </c>
      <c r="Q121" s="170">
        <f t="shared" si="18"/>
        <v>2742.5</v>
      </c>
      <c r="R121" s="171">
        <f t="shared" si="19"/>
        <v>-1300.9</v>
      </c>
      <c r="S121" s="171">
        <f t="shared" si="20"/>
        <v>67.8265815897512</v>
      </c>
      <c r="T121" s="133"/>
    </row>
    <row r="122" spans="3:20" s="39" customFormat="1" ht="55.5" customHeight="1">
      <c r="C122" s="35" t="s">
        <v>76</v>
      </c>
      <c r="D122" s="35" t="s">
        <v>519</v>
      </c>
      <c r="E122" s="35" t="s">
        <v>463</v>
      </c>
      <c r="F122" s="119" t="s">
        <v>247</v>
      </c>
      <c r="G122" s="45" t="s">
        <v>525</v>
      </c>
      <c r="H122" s="170">
        <v>603.4</v>
      </c>
      <c r="I122" s="170">
        <v>108.6</v>
      </c>
      <c r="J122" s="176">
        <f t="shared" si="21"/>
        <v>17.998011269472986</v>
      </c>
      <c r="K122" s="170"/>
      <c r="L122" s="170"/>
      <c r="M122" s="170"/>
      <c r="N122" s="170"/>
      <c r="O122" s="172"/>
      <c r="P122" s="170">
        <f t="shared" si="17"/>
        <v>603.4</v>
      </c>
      <c r="Q122" s="170">
        <f t="shared" si="18"/>
        <v>108.6</v>
      </c>
      <c r="R122" s="171">
        <f t="shared" si="19"/>
        <v>-494.79999999999995</v>
      </c>
      <c r="S122" s="171">
        <f t="shared" si="20"/>
        <v>17.998011269472986</v>
      </c>
      <c r="T122" s="133"/>
    </row>
    <row r="123" spans="3:20" s="39" customFormat="1" ht="52.5" customHeight="1">
      <c r="C123" s="35" t="s">
        <v>77</v>
      </c>
      <c r="D123" s="35" t="s">
        <v>520</v>
      </c>
      <c r="E123" s="35" t="s">
        <v>463</v>
      </c>
      <c r="F123" s="119" t="s">
        <v>46</v>
      </c>
      <c r="G123" s="45" t="s">
        <v>526</v>
      </c>
      <c r="H123" s="170">
        <v>300</v>
      </c>
      <c r="I123" s="187">
        <v>76.6</v>
      </c>
      <c r="J123" s="176">
        <f t="shared" si="21"/>
        <v>25.53333333333333</v>
      </c>
      <c r="K123" s="170"/>
      <c r="L123" s="170"/>
      <c r="M123" s="170"/>
      <c r="N123" s="170"/>
      <c r="O123" s="172"/>
      <c r="P123" s="170">
        <f t="shared" si="17"/>
        <v>300</v>
      </c>
      <c r="Q123" s="170">
        <f t="shared" si="18"/>
        <v>76.6</v>
      </c>
      <c r="R123" s="171">
        <f t="shared" si="19"/>
        <v>-223.4</v>
      </c>
      <c r="S123" s="171">
        <f t="shared" si="20"/>
        <v>25.53333333333333</v>
      </c>
      <c r="T123" s="133"/>
    </row>
    <row r="124" spans="3:20" s="39" customFormat="1" ht="69" customHeight="1">
      <c r="C124" s="35" t="s">
        <v>78</v>
      </c>
      <c r="D124" s="35" t="s">
        <v>521</v>
      </c>
      <c r="E124" s="35" t="s">
        <v>463</v>
      </c>
      <c r="F124" s="119" t="s">
        <v>202</v>
      </c>
      <c r="G124" s="45" t="s">
        <v>527</v>
      </c>
      <c r="H124" s="170">
        <v>5700</v>
      </c>
      <c r="I124" s="170">
        <v>4522.9</v>
      </c>
      <c r="J124" s="176">
        <f t="shared" si="21"/>
        <v>79.34912280701754</v>
      </c>
      <c r="K124" s="170"/>
      <c r="L124" s="170"/>
      <c r="M124" s="170"/>
      <c r="N124" s="170"/>
      <c r="O124" s="172"/>
      <c r="P124" s="170">
        <f t="shared" si="17"/>
        <v>5700</v>
      </c>
      <c r="Q124" s="170">
        <f t="shared" si="18"/>
        <v>4522.9</v>
      </c>
      <c r="R124" s="171">
        <f t="shared" si="19"/>
        <v>-1177.1000000000004</v>
      </c>
      <c r="S124" s="171">
        <f t="shared" si="20"/>
        <v>79.34912280701754</v>
      </c>
      <c r="T124" s="133"/>
    </row>
    <row r="125" spans="3:20" s="39" customFormat="1" ht="69" customHeight="1">
      <c r="C125" s="35" t="s">
        <v>96</v>
      </c>
      <c r="D125" s="35" t="s">
        <v>522</v>
      </c>
      <c r="E125" s="35" t="s">
        <v>441</v>
      </c>
      <c r="F125" s="119" t="s">
        <v>210</v>
      </c>
      <c r="G125" s="45" t="s">
        <v>528</v>
      </c>
      <c r="H125" s="170">
        <v>4848.7</v>
      </c>
      <c r="I125" s="170">
        <v>3802</v>
      </c>
      <c r="J125" s="176">
        <f t="shared" si="21"/>
        <v>78.41277043331203</v>
      </c>
      <c r="K125" s="170"/>
      <c r="L125" s="170"/>
      <c r="M125" s="170"/>
      <c r="N125" s="170"/>
      <c r="O125" s="172"/>
      <c r="P125" s="170">
        <f t="shared" si="17"/>
        <v>4848.7</v>
      </c>
      <c r="Q125" s="170">
        <f t="shared" si="18"/>
        <v>3802</v>
      </c>
      <c r="R125" s="171">
        <f t="shared" si="19"/>
        <v>-1046.6999999999998</v>
      </c>
      <c r="S125" s="171">
        <f t="shared" si="20"/>
        <v>78.41277043331203</v>
      </c>
      <c r="T125" s="133"/>
    </row>
    <row r="126" spans="1:20" s="7" customFormat="1" ht="69" customHeight="1">
      <c r="A126" s="7">
        <v>5</v>
      </c>
      <c r="B126" s="7">
        <v>26</v>
      </c>
      <c r="C126" s="32" t="s">
        <v>68</v>
      </c>
      <c r="D126" s="32" t="s">
        <v>523</v>
      </c>
      <c r="E126" s="32" t="s">
        <v>460</v>
      </c>
      <c r="F126" s="115" t="s">
        <v>255</v>
      </c>
      <c r="G126" s="43" t="s">
        <v>635</v>
      </c>
      <c r="H126" s="166">
        <v>233.7</v>
      </c>
      <c r="I126" s="166">
        <v>152.8</v>
      </c>
      <c r="J126" s="176">
        <f t="shared" si="21"/>
        <v>65.38296961916988</v>
      </c>
      <c r="K126" s="166"/>
      <c r="L126" s="166"/>
      <c r="M126" s="166"/>
      <c r="N126" s="166"/>
      <c r="O126" s="169"/>
      <c r="P126" s="170">
        <f t="shared" si="17"/>
        <v>233.7</v>
      </c>
      <c r="Q126" s="170">
        <f t="shared" si="18"/>
        <v>152.8</v>
      </c>
      <c r="R126" s="171">
        <f t="shared" si="19"/>
        <v>-80.89999999999998</v>
      </c>
      <c r="S126" s="171">
        <f t="shared" si="20"/>
        <v>65.38296961916988</v>
      </c>
      <c r="T126" s="129"/>
    </row>
    <row r="127" spans="1:20" s="7" customFormat="1" ht="60.75" customHeight="1">
      <c r="A127" s="7">
        <v>6</v>
      </c>
      <c r="B127" s="7">
        <v>27</v>
      </c>
      <c r="C127" s="32" t="s">
        <v>83</v>
      </c>
      <c r="D127" s="32" t="s">
        <v>529</v>
      </c>
      <c r="E127" s="32" t="s">
        <v>441</v>
      </c>
      <c r="F127" s="115" t="s">
        <v>203</v>
      </c>
      <c r="G127" s="43" t="s">
        <v>744</v>
      </c>
      <c r="H127" s="166">
        <v>350</v>
      </c>
      <c r="I127" s="166">
        <v>169.1</v>
      </c>
      <c r="J127" s="176">
        <f t="shared" si="21"/>
        <v>48.31428571428572</v>
      </c>
      <c r="K127" s="166"/>
      <c r="L127" s="166"/>
      <c r="M127" s="166"/>
      <c r="N127" s="166"/>
      <c r="O127" s="167"/>
      <c r="P127" s="170">
        <f t="shared" si="17"/>
        <v>350</v>
      </c>
      <c r="Q127" s="170">
        <f t="shared" si="18"/>
        <v>169.1</v>
      </c>
      <c r="R127" s="171">
        <f t="shared" si="19"/>
        <v>-180.9</v>
      </c>
      <c r="S127" s="171">
        <f t="shared" si="20"/>
        <v>48.31428571428572</v>
      </c>
      <c r="T127" s="129"/>
    </row>
    <row r="128" spans="1:20" s="7" customFormat="1" ht="48.75" customHeight="1">
      <c r="A128" s="7">
        <v>7</v>
      </c>
      <c r="B128" s="7">
        <v>28</v>
      </c>
      <c r="C128" s="32" t="s">
        <v>85</v>
      </c>
      <c r="D128" s="32" t="s">
        <v>530</v>
      </c>
      <c r="E128" s="32" t="s">
        <v>484</v>
      </c>
      <c r="F128" s="115" t="s">
        <v>242</v>
      </c>
      <c r="G128" s="33" t="s">
        <v>634</v>
      </c>
      <c r="H128" s="166">
        <v>26.4</v>
      </c>
      <c r="I128" s="166">
        <v>6.6</v>
      </c>
      <c r="J128" s="176">
        <f t="shared" si="21"/>
        <v>25</v>
      </c>
      <c r="K128" s="166"/>
      <c r="L128" s="166"/>
      <c r="M128" s="166"/>
      <c r="N128" s="166"/>
      <c r="O128" s="169"/>
      <c r="P128" s="170">
        <f t="shared" si="17"/>
        <v>26.4</v>
      </c>
      <c r="Q128" s="170">
        <f t="shared" si="18"/>
        <v>6.6</v>
      </c>
      <c r="R128" s="171">
        <f t="shared" si="19"/>
        <v>-19.799999999999997</v>
      </c>
      <c r="S128" s="171">
        <f t="shared" si="20"/>
        <v>25</v>
      </c>
      <c r="T128" s="129"/>
    </row>
    <row r="129" spans="1:21" s="7" customFormat="1" ht="67.5" customHeight="1">
      <c r="A129" s="7">
        <v>8</v>
      </c>
      <c r="B129" s="7">
        <v>29</v>
      </c>
      <c r="C129" s="32" t="s">
        <v>149</v>
      </c>
      <c r="D129" s="32" t="s">
        <v>646</v>
      </c>
      <c r="E129" s="32" t="s">
        <v>444</v>
      </c>
      <c r="F129" s="115"/>
      <c r="G129" s="33" t="s">
        <v>151</v>
      </c>
      <c r="H129" s="166">
        <f>H130+H131</f>
        <v>4341.4</v>
      </c>
      <c r="I129" s="166">
        <f>I130+I131</f>
        <v>2903.5</v>
      </c>
      <c r="J129" s="176">
        <f t="shared" si="21"/>
        <v>66.87934767586493</v>
      </c>
      <c r="K129" s="166">
        <f>K130+K131</f>
        <v>362</v>
      </c>
      <c r="L129" s="166">
        <f>L130+L131</f>
        <v>0</v>
      </c>
      <c r="M129" s="166">
        <f>M130+M131</f>
        <v>350.4</v>
      </c>
      <c r="N129" s="166">
        <f>N130+N131</f>
        <v>133.4</v>
      </c>
      <c r="O129" s="167">
        <f>M129/K129*100</f>
        <v>96.79558011049723</v>
      </c>
      <c r="P129" s="170">
        <f>H129+K129</f>
        <v>4703.4</v>
      </c>
      <c r="Q129" s="170">
        <f t="shared" si="18"/>
        <v>3253.9</v>
      </c>
      <c r="R129" s="171">
        <f t="shared" si="19"/>
        <v>-1449.4999999999995</v>
      </c>
      <c r="S129" s="171">
        <f t="shared" si="20"/>
        <v>69.1818684355998</v>
      </c>
      <c r="T129" s="129">
        <f>SUM(T130:T130)</f>
        <v>0</v>
      </c>
      <c r="U129" s="22"/>
    </row>
    <row r="130" spans="3:20" s="39" customFormat="1" ht="129" customHeight="1">
      <c r="C130" s="35" t="s">
        <v>86</v>
      </c>
      <c r="D130" s="35" t="s">
        <v>531</v>
      </c>
      <c r="E130" s="35" t="s">
        <v>444</v>
      </c>
      <c r="F130" s="119" t="s">
        <v>199</v>
      </c>
      <c r="G130" s="45" t="s">
        <v>532</v>
      </c>
      <c r="H130" s="170">
        <v>4329.4</v>
      </c>
      <c r="I130" s="170">
        <v>2891.5</v>
      </c>
      <c r="J130" s="176">
        <f t="shared" si="21"/>
        <v>66.78754561833048</v>
      </c>
      <c r="K130" s="178">
        <f>72+156.5+46.5</f>
        <v>275</v>
      </c>
      <c r="L130" s="170"/>
      <c r="M130" s="181">
        <f>46.5+60.4+156.6</f>
        <v>263.5</v>
      </c>
      <c r="N130" s="166">
        <v>46.5</v>
      </c>
      <c r="O130" s="167">
        <f>M130/K130*100</f>
        <v>95.81818181818181</v>
      </c>
      <c r="P130" s="170">
        <f t="shared" si="17"/>
        <v>4604.4</v>
      </c>
      <c r="Q130" s="170">
        <f t="shared" si="18"/>
        <v>3155</v>
      </c>
      <c r="R130" s="171">
        <f t="shared" si="19"/>
        <v>-1449.3999999999996</v>
      </c>
      <c r="S130" s="171">
        <f t="shared" si="20"/>
        <v>68.52141429936583</v>
      </c>
      <c r="T130" s="133"/>
    </row>
    <row r="131" spans="3:20" s="39" customFormat="1" ht="45" customHeight="1">
      <c r="C131" s="35"/>
      <c r="D131" s="35" t="s">
        <v>531</v>
      </c>
      <c r="E131" s="35" t="s">
        <v>444</v>
      </c>
      <c r="F131" s="119"/>
      <c r="G131" s="37" t="s">
        <v>632</v>
      </c>
      <c r="H131" s="170">
        <v>12</v>
      </c>
      <c r="I131" s="170">
        <v>12</v>
      </c>
      <c r="J131" s="176">
        <f t="shared" si="21"/>
        <v>100</v>
      </c>
      <c r="K131" s="178">
        <v>87</v>
      </c>
      <c r="L131" s="170"/>
      <c r="M131" s="181">
        <v>86.9</v>
      </c>
      <c r="N131" s="166">
        <v>86.9</v>
      </c>
      <c r="O131" s="167"/>
      <c r="P131" s="170"/>
      <c r="Q131" s="170"/>
      <c r="R131" s="171"/>
      <c r="S131" s="171"/>
      <c r="T131" s="133"/>
    </row>
    <row r="132" spans="3:20" s="39" customFormat="1" ht="37.5">
      <c r="C132" s="32" t="s">
        <v>716</v>
      </c>
      <c r="D132" s="32" t="s">
        <v>461</v>
      </c>
      <c r="E132" s="32"/>
      <c r="F132" s="115"/>
      <c r="G132" s="43" t="s">
        <v>178</v>
      </c>
      <c r="H132" s="170">
        <f>H133+H134</f>
        <v>798.4</v>
      </c>
      <c r="I132" s="170">
        <f>I133+I134</f>
        <v>462</v>
      </c>
      <c r="J132" s="176">
        <f t="shared" si="21"/>
        <v>57.86573146292585</v>
      </c>
      <c r="K132" s="178"/>
      <c r="L132" s="170"/>
      <c r="M132" s="181"/>
      <c r="N132" s="166"/>
      <c r="O132" s="167"/>
      <c r="P132" s="170">
        <f t="shared" si="17"/>
        <v>798.4</v>
      </c>
      <c r="Q132" s="170">
        <f t="shared" si="18"/>
        <v>462</v>
      </c>
      <c r="R132" s="171">
        <f t="shared" si="19"/>
        <v>-336.4</v>
      </c>
      <c r="S132" s="171">
        <f t="shared" si="20"/>
        <v>57.86573146292585</v>
      </c>
      <c r="T132" s="133"/>
    </row>
    <row r="133" spans="3:20" s="39" customFormat="1" ht="20.25">
      <c r="C133" s="35" t="s">
        <v>717</v>
      </c>
      <c r="D133" s="35" t="s">
        <v>462</v>
      </c>
      <c r="E133" s="35" t="s">
        <v>463</v>
      </c>
      <c r="F133" s="119" t="s">
        <v>50</v>
      </c>
      <c r="G133" s="45" t="s">
        <v>110</v>
      </c>
      <c r="H133" s="170">
        <v>789.9</v>
      </c>
      <c r="I133" s="170">
        <v>453.7</v>
      </c>
      <c r="J133" s="176">
        <f t="shared" si="21"/>
        <v>57.4376503354855</v>
      </c>
      <c r="K133" s="178"/>
      <c r="L133" s="170"/>
      <c r="M133" s="181"/>
      <c r="N133" s="166"/>
      <c r="O133" s="167"/>
      <c r="P133" s="170">
        <f aca="true" t="shared" si="22" ref="P133:P163">H133+K133</f>
        <v>789.9</v>
      </c>
      <c r="Q133" s="170">
        <f aca="true" t="shared" si="23" ref="Q133:Q163">I133+M133</f>
        <v>453.7</v>
      </c>
      <c r="R133" s="171">
        <f aca="true" t="shared" si="24" ref="R133:R163">Q133-P133</f>
        <v>-336.2</v>
      </c>
      <c r="S133" s="171">
        <f aca="true" t="shared" si="25" ref="S133:S163">Q133/P133*100</f>
        <v>57.4376503354855</v>
      </c>
      <c r="T133" s="133"/>
    </row>
    <row r="134" spans="3:20" s="39" customFormat="1" ht="75">
      <c r="C134" s="35" t="s">
        <v>718</v>
      </c>
      <c r="D134" s="35" t="s">
        <v>464</v>
      </c>
      <c r="E134" s="35" t="s">
        <v>463</v>
      </c>
      <c r="F134" s="119" t="s">
        <v>29</v>
      </c>
      <c r="G134" s="45" t="s">
        <v>335</v>
      </c>
      <c r="H134" s="170">
        <v>8.5</v>
      </c>
      <c r="I134" s="170">
        <v>8.3</v>
      </c>
      <c r="J134" s="176">
        <f t="shared" si="21"/>
        <v>97.64705882352942</v>
      </c>
      <c r="K134" s="178"/>
      <c r="L134" s="170"/>
      <c r="M134" s="181"/>
      <c r="N134" s="166"/>
      <c r="O134" s="167"/>
      <c r="P134" s="170">
        <f t="shared" si="22"/>
        <v>8.5</v>
      </c>
      <c r="Q134" s="170">
        <f t="shared" si="23"/>
        <v>8.3</v>
      </c>
      <c r="R134" s="171">
        <f t="shared" si="24"/>
        <v>-0.1999999999999993</v>
      </c>
      <c r="S134" s="171">
        <f t="shared" si="25"/>
        <v>97.64705882352942</v>
      </c>
      <c r="T134" s="133"/>
    </row>
    <row r="135" spans="1:21" s="18" customFormat="1" ht="92.25" customHeight="1">
      <c r="A135" s="18">
        <v>9</v>
      </c>
      <c r="B135" s="18">
        <v>30</v>
      </c>
      <c r="C135" s="32" t="s">
        <v>153</v>
      </c>
      <c r="D135" s="32" t="s">
        <v>534</v>
      </c>
      <c r="E135" s="32" t="s">
        <v>441</v>
      </c>
      <c r="F135" s="115"/>
      <c r="G135" s="33" t="s">
        <v>152</v>
      </c>
      <c r="H135" s="166">
        <f>SUM(H136:H138)</f>
        <v>208.79999999999998</v>
      </c>
      <c r="I135" s="166">
        <f>SUM(I136:I138)</f>
        <v>109.3</v>
      </c>
      <c r="J135" s="176">
        <f t="shared" si="21"/>
        <v>52.34674329501916</v>
      </c>
      <c r="K135" s="166"/>
      <c r="L135" s="166"/>
      <c r="M135" s="166"/>
      <c r="N135" s="166"/>
      <c r="O135" s="167"/>
      <c r="P135" s="170">
        <f t="shared" si="22"/>
        <v>208.79999999999998</v>
      </c>
      <c r="Q135" s="170">
        <f t="shared" si="23"/>
        <v>109.3</v>
      </c>
      <c r="R135" s="171">
        <f t="shared" si="24"/>
        <v>-99.49999999999999</v>
      </c>
      <c r="S135" s="171">
        <f t="shared" si="25"/>
        <v>52.34674329501916</v>
      </c>
      <c r="T135" s="129">
        <f>SUM(T136:T138)</f>
        <v>0</v>
      </c>
      <c r="U135" s="69"/>
    </row>
    <row r="136" spans="3:20" s="39" customFormat="1" ht="102.75" customHeight="1">
      <c r="C136" s="35" t="s">
        <v>88</v>
      </c>
      <c r="D136" s="35" t="s">
        <v>533</v>
      </c>
      <c r="E136" s="35" t="s">
        <v>441</v>
      </c>
      <c r="F136" s="119" t="s">
        <v>276</v>
      </c>
      <c r="G136" s="37" t="s">
        <v>87</v>
      </c>
      <c r="H136" s="170">
        <v>200</v>
      </c>
      <c r="I136" s="170">
        <v>104.2</v>
      </c>
      <c r="J136" s="176">
        <f t="shared" si="21"/>
        <v>52.1</v>
      </c>
      <c r="K136" s="170"/>
      <c r="L136" s="170"/>
      <c r="M136" s="170"/>
      <c r="N136" s="170"/>
      <c r="O136" s="171"/>
      <c r="P136" s="170">
        <f t="shared" si="22"/>
        <v>200</v>
      </c>
      <c r="Q136" s="170">
        <f t="shared" si="23"/>
        <v>104.2</v>
      </c>
      <c r="R136" s="171">
        <f t="shared" si="24"/>
        <v>-95.8</v>
      </c>
      <c r="S136" s="171">
        <f t="shared" si="25"/>
        <v>52.1</v>
      </c>
      <c r="T136" s="133"/>
    </row>
    <row r="137" spans="3:20" s="39" customFormat="1" ht="87" customHeight="1">
      <c r="C137" s="35" t="s">
        <v>97</v>
      </c>
      <c r="D137" s="35" t="s">
        <v>535</v>
      </c>
      <c r="E137" s="35" t="s">
        <v>441</v>
      </c>
      <c r="F137" s="119" t="s">
        <v>0</v>
      </c>
      <c r="G137" s="45" t="s">
        <v>536</v>
      </c>
      <c r="H137" s="170">
        <v>8.6</v>
      </c>
      <c r="I137" s="170">
        <v>5.1</v>
      </c>
      <c r="J137" s="176">
        <f t="shared" si="21"/>
        <v>59.302325581395344</v>
      </c>
      <c r="K137" s="170"/>
      <c r="L137" s="170"/>
      <c r="M137" s="170"/>
      <c r="N137" s="170"/>
      <c r="O137" s="172"/>
      <c r="P137" s="170">
        <f t="shared" si="22"/>
        <v>8.6</v>
      </c>
      <c r="Q137" s="170">
        <f t="shared" si="23"/>
        <v>5.1</v>
      </c>
      <c r="R137" s="171">
        <f t="shared" si="24"/>
        <v>-3.5</v>
      </c>
      <c r="S137" s="171">
        <f t="shared" si="25"/>
        <v>59.302325581395344</v>
      </c>
      <c r="T137" s="133"/>
    </row>
    <row r="138" spans="3:20" s="39" customFormat="1" ht="49.5" customHeight="1">
      <c r="C138" s="35" t="s">
        <v>98</v>
      </c>
      <c r="D138" s="35" t="s">
        <v>537</v>
      </c>
      <c r="E138" s="35" t="s">
        <v>441</v>
      </c>
      <c r="F138" s="119" t="s">
        <v>1</v>
      </c>
      <c r="G138" s="45" t="s">
        <v>644</v>
      </c>
      <c r="H138" s="170">
        <v>0.2</v>
      </c>
      <c r="I138" s="170">
        <v>0</v>
      </c>
      <c r="J138" s="176">
        <f t="shared" si="21"/>
        <v>0</v>
      </c>
      <c r="K138" s="170"/>
      <c r="L138" s="170"/>
      <c r="M138" s="170"/>
      <c r="N138" s="170"/>
      <c r="O138" s="172"/>
      <c r="P138" s="170">
        <f t="shared" si="22"/>
        <v>0.2</v>
      </c>
      <c r="Q138" s="170">
        <f t="shared" si="23"/>
        <v>0</v>
      </c>
      <c r="R138" s="171">
        <f t="shared" si="24"/>
        <v>-0.2</v>
      </c>
      <c r="S138" s="171">
        <f t="shared" si="25"/>
        <v>0</v>
      </c>
      <c r="T138" s="133"/>
    </row>
    <row r="139" spans="1:21" s="7" customFormat="1" ht="98.25" customHeight="1">
      <c r="A139" s="7">
        <v>10</v>
      </c>
      <c r="B139" s="7">
        <v>31</v>
      </c>
      <c r="C139" s="32" t="s">
        <v>94</v>
      </c>
      <c r="D139" s="32" t="s">
        <v>538</v>
      </c>
      <c r="E139" s="32" t="s">
        <v>465</v>
      </c>
      <c r="F139" s="115" t="s">
        <v>205</v>
      </c>
      <c r="G139" s="43" t="s">
        <v>539</v>
      </c>
      <c r="H139" s="166">
        <f>H140+H141</f>
        <v>266</v>
      </c>
      <c r="I139" s="166">
        <f>I140+I141</f>
        <v>51.7</v>
      </c>
      <c r="J139" s="176">
        <f t="shared" si="21"/>
        <v>19.43609022556391</v>
      </c>
      <c r="K139" s="166"/>
      <c r="L139" s="166"/>
      <c r="M139" s="166"/>
      <c r="N139" s="166"/>
      <c r="O139" s="167"/>
      <c r="P139" s="170">
        <f t="shared" si="22"/>
        <v>266</v>
      </c>
      <c r="Q139" s="170">
        <f t="shared" si="23"/>
        <v>51.7</v>
      </c>
      <c r="R139" s="171">
        <f t="shared" si="24"/>
        <v>-214.3</v>
      </c>
      <c r="S139" s="171">
        <f t="shared" si="25"/>
        <v>19.43609022556391</v>
      </c>
      <c r="T139" s="14">
        <f>SUM(T140:T141)</f>
        <v>0</v>
      </c>
      <c r="U139" s="22"/>
    </row>
    <row r="140" spans="3:20" s="39" customFormat="1" ht="42.75" customHeight="1">
      <c r="C140" s="35"/>
      <c r="D140" s="35"/>
      <c r="E140" s="35"/>
      <c r="F140" s="119"/>
      <c r="G140" s="37" t="s">
        <v>540</v>
      </c>
      <c r="H140" s="166">
        <v>116</v>
      </c>
      <c r="I140" s="170">
        <v>28.4</v>
      </c>
      <c r="J140" s="176">
        <f t="shared" si="21"/>
        <v>24.482758620689655</v>
      </c>
      <c r="K140" s="170"/>
      <c r="L140" s="170"/>
      <c r="M140" s="170"/>
      <c r="N140" s="170"/>
      <c r="O140" s="171"/>
      <c r="P140" s="170">
        <f t="shared" si="22"/>
        <v>116</v>
      </c>
      <c r="Q140" s="170">
        <f t="shared" si="23"/>
        <v>28.4</v>
      </c>
      <c r="R140" s="171">
        <f t="shared" si="24"/>
        <v>-87.6</v>
      </c>
      <c r="S140" s="171">
        <f t="shared" si="25"/>
        <v>24.482758620689655</v>
      </c>
      <c r="T140" s="133"/>
    </row>
    <row r="141" spans="3:20" s="39" customFormat="1" ht="41.25" customHeight="1">
      <c r="C141" s="35"/>
      <c r="D141" s="35"/>
      <c r="E141" s="35"/>
      <c r="F141" s="119"/>
      <c r="G141" s="37" t="s">
        <v>607</v>
      </c>
      <c r="H141" s="170">
        <v>150</v>
      </c>
      <c r="I141" s="170">
        <v>23.3</v>
      </c>
      <c r="J141" s="176">
        <f t="shared" si="21"/>
        <v>15.533333333333335</v>
      </c>
      <c r="K141" s="170"/>
      <c r="L141" s="170"/>
      <c r="M141" s="170"/>
      <c r="N141" s="170"/>
      <c r="O141" s="171"/>
      <c r="P141" s="170">
        <f t="shared" si="22"/>
        <v>150</v>
      </c>
      <c r="Q141" s="170">
        <f t="shared" si="23"/>
        <v>23.3</v>
      </c>
      <c r="R141" s="171">
        <f t="shared" si="24"/>
        <v>-126.7</v>
      </c>
      <c r="S141" s="171">
        <f t="shared" si="25"/>
        <v>15.533333333333335</v>
      </c>
      <c r="T141" s="133"/>
    </row>
    <row r="142" spans="1:21" s="7" customFormat="1" ht="29.25" customHeight="1">
      <c r="A142" s="7">
        <v>11</v>
      </c>
      <c r="B142" s="7">
        <v>32</v>
      </c>
      <c r="C142" s="32" t="s">
        <v>154</v>
      </c>
      <c r="D142" s="32" t="s">
        <v>541</v>
      </c>
      <c r="E142" s="32" t="s">
        <v>484</v>
      </c>
      <c r="F142" s="115"/>
      <c r="G142" s="43" t="s">
        <v>155</v>
      </c>
      <c r="H142" s="166">
        <f>SUM(H144:H148)</f>
        <v>1522.55</v>
      </c>
      <c r="I142" s="166">
        <f>SUM(I144:I148)</f>
        <v>552</v>
      </c>
      <c r="J142" s="176">
        <f t="shared" si="21"/>
        <v>36.25496699615776</v>
      </c>
      <c r="K142" s="166"/>
      <c r="L142" s="166"/>
      <c r="M142" s="166"/>
      <c r="N142" s="166"/>
      <c r="O142" s="167"/>
      <c r="P142" s="170">
        <f t="shared" si="22"/>
        <v>1522.55</v>
      </c>
      <c r="Q142" s="170">
        <f t="shared" si="23"/>
        <v>552</v>
      </c>
      <c r="R142" s="171">
        <f t="shared" si="24"/>
        <v>-970.55</v>
      </c>
      <c r="S142" s="171">
        <f t="shared" si="25"/>
        <v>36.25496699615776</v>
      </c>
      <c r="T142" s="129">
        <f>SUM(T144:T148)</f>
        <v>0</v>
      </c>
      <c r="U142" s="22"/>
    </row>
    <row r="143" spans="3:21" s="7" customFormat="1" ht="48" customHeight="1">
      <c r="C143" s="35" t="s">
        <v>84</v>
      </c>
      <c r="D143" s="35" t="s">
        <v>542</v>
      </c>
      <c r="E143" s="35" t="s">
        <v>484</v>
      </c>
      <c r="F143" s="119" t="s">
        <v>209</v>
      </c>
      <c r="G143" s="37" t="s">
        <v>544</v>
      </c>
      <c r="H143" s="166">
        <f>SUM(H144:H147)</f>
        <v>1332</v>
      </c>
      <c r="I143" s="166">
        <f>SUM(I144:I147)</f>
        <v>419.5</v>
      </c>
      <c r="J143" s="176">
        <f t="shared" si="21"/>
        <v>31.493993993993996</v>
      </c>
      <c r="K143" s="166"/>
      <c r="L143" s="166"/>
      <c r="M143" s="166"/>
      <c r="N143" s="166"/>
      <c r="O143" s="167"/>
      <c r="P143" s="170">
        <f t="shared" si="22"/>
        <v>1332</v>
      </c>
      <c r="Q143" s="170">
        <f t="shared" si="23"/>
        <v>419.5</v>
      </c>
      <c r="R143" s="171">
        <f t="shared" si="24"/>
        <v>-912.5</v>
      </c>
      <c r="S143" s="171">
        <f t="shared" si="25"/>
        <v>31.493993993993996</v>
      </c>
      <c r="T143" s="14">
        <f>SUM(T144:T147)</f>
        <v>0</v>
      </c>
      <c r="U143" s="22"/>
    </row>
    <row r="144" spans="3:20" s="39" customFormat="1" ht="29.25" customHeight="1">
      <c r="C144" s="35"/>
      <c r="D144" s="35"/>
      <c r="E144" s="35"/>
      <c r="F144" s="119"/>
      <c r="G144" s="37" t="s">
        <v>396</v>
      </c>
      <c r="H144" s="166">
        <v>158</v>
      </c>
      <c r="I144" s="183">
        <v>111</v>
      </c>
      <c r="J144" s="176">
        <f t="shared" si="21"/>
        <v>70.25316455696202</v>
      </c>
      <c r="K144" s="170"/>
      <c r="L144" s="170"/>
      <c r="M144" s="170"/>
      <c r="N144" s="170"/>
      <c r="O144" s="171"/>
      <c r="P144" s="170">
        <f t="shared" si="22"/>
        <v>158</v>
      </c>
      <c r="Q144" s="170">
        <f t="shared" si="23"/>
        <v>111</v>
      </c>
      <c r="R144" s="171">
        <f t="shared" si="24"/>
        <v>-47</v>
      </c>
      <c r="S144" s="171">
        <f t="shared" si="25"/>
        <v>70.25316455696202</v>
      </c>
      <c r="T144" s="133"/>
    </row>
    <row r="145" spans="3:20" s="39" customFormat="1" ht="138.75" customHeight="1" hidden="1">
      <c r="C145" s="35"/>
      <c r="D145" s="35"/>
      <c r="E145" s="35"/>
      <c r="F145" s="119"/>
      <c r="G145" s="37" t="s">
        <v>395</v>
      </c>
      <c r="H145" s="166"/>
      <c r="I145" s="183"/>
      <c r="J145" s="176" t="e">
        <f t="shared" si="21"/>
        <v>#DIV/0!</v>
      </c>
      <c r="K145" s="170"/>
      <c r="L145" s="170"/>
      <c r="M145" s="170"/>
      <c r="N145" s="170"/>
      <c r="O145" s="171"/>
      <c r="P145" s="170">
        <f t="shared" si="22"/>
        <v>0</v>
      </c>
      <c r="Q145" s="170">
        <f t="shared" si="23"/>
        <v>0</v>
      </c>
      <c r="R145" s="171">
        <f t="shared" si="24"/>
        <v>0</v>
      </c>
      <c r="S145" s="171" t="e">
        <f t="shared" si="25"/>
        <v>#DIV/0!</v>
      </c>
      <c r="T145" s="133"/>
    </row>
    <row r="146" spans="3:20" s="39" customFormat="1" ht="50.25" customHeight="1">
      <c r="C146" s="35"/>
      <c r="D146" s="35"/>
      <c r="E146" s="35"/>
      <c r="F146" s="119"/>
      <c r="G146" s="37" t="s">
        <v>540</v>
      </c>
      <c r="H146" s="166">
        <v>974</v>
      </c>
      <c r="I146" s="170">
        <v>278.5</v>
      </c>
      <c r="J146" s="176">
        <f t="shared" si="21"/>
        <v>28.593429158110883</v>
      </c>
      <c r="K146" s="170"/>
      <c r="L146" s="170"/>
      <c r="M146" s="170"/>
      <c r="N146" s="170"/>
      <c r="O146" s="171"/>
      <c r="P146" s="170">
        <f t="shared" si="22"/>
        <v>974</v>
      </c>
      <c r="Q146" s="170">
        <f t="shared" si="23"/>
        <v>278.5</v>
      </c>
      <c r="R146" s="171">
        <f t="shared" si="24"/>
        <v>-695.5</v>
      </c>
      <c r="S146" s="171">
        <f t="shared" si="25"/>
        <v>28.593429158110883</v>
      </c>
      <c r="T146" s="133"/>
    </row>
    <row r="147" spans="3:20" s="39" customFormat="1" ht="42" customHeight="1">
      <c r="C147" s="35"/>
      <c r="D147" s="35"/>
      <c r="E147" s="35"/>
      <c r="F147" s="119"/>
      <c r="G147" s="37" t="s">
        <v>609</v>
      </c>
      <c r="H147" s="170">
        <v>200</v>
      </c>
      <c r="I147" s="170">
        <v>30</v>
      </c>
      <c r="J147" s="176">
        <f t="shared" si="21"/>
        <v>15</v>
      </c>
      <c r="K147" s="170"/>
      <c r="L147" s="170"/>
      <c r="M147" s="170"/>
      <c r="N147" s="170"/>
      <c r="O147" s="171"/>
      <c r="P147" s="170">
        <f t="shared" si="22"/>
        <v>200</v>
      </c>
      <c r="Q147" s="170">
        <f t="shared" si="23"/>
        <v>30</v>
      </c>
      <c r="R147" s="171">
        <f t="shared" si="24"/>
        <v>-170</v>
      </c>
      <c r="S147" s="171">
        <f t="shared" si="25"/>
        <v>15</v>
      </c>
      <c r="T147" s="133"/>
    </row>
    <row r="148" spans="3:20" s="39" customFormat="1" ht="72.75" customHeight="1">
      <c r="C148" s="35" t="s">
        <v>95</v>
      </c>
      <c r="D148" s="35" t="s">
        <v>543</v>
      </c>
      <c r="E148" s="35" t="s">
        <v>484</v>
      </c>
      <c r="F148" s="119" t="s">
        <v>204</v>
      </c>
      <c r="G148" s="37" t="s">
        <v>363</v>
      </c>
      <c r="H148" s="170">
        <f>SUM(H149:H150)</f>
        <v>190.55</v>
      </c>
      <c r="I148" s="170">
        <f>SUM(I149:I150)</f>
        <v>132.5</v>
      </c>
      <c r="J148" s="176">
        <f t="shared" si="21"/>
        <v>69.53555497244818</v>
      </c>
      <c r="K148" s="170"/>
      <c r="L148" s="170"/>
      <c r="M148" s="170"/>
      <c r="N148" s="170"/>
      <c r="O148" s="171"/>
      <c r="P148" s="170">
        <f t="shared" si="22"/>
        <v>190.55</v>
      </c>
      <c r="Q148" s="170">
        <f t="shared" si="23"/>
        <v>132.5</v>
      </c>
      <c r="R148" s="171">
        <f t="shared" si="24"/>
        <v>-58.05000000000001</v>
      </c>
      <c r="S148" s="171">
        <f t="shared" si="25"/>
        <v>69.53555497244818</v>
      </c>
      <c r="T148" s="133"/>
    </row>
    <row r="149" spans="3:20" s="39" customFormat="1" ht="95.25" customHeight="1">
      <c r="C149" s="35"/>
      <c r="D149" s="35"/>
      <c r="E149" s="35"/>
      <c r="F149" s="119"/>
      <c r="G149" s="37" t="s">
        <v>633</v>
      </c>
      <c r="H149" s="170">
        <v>156.1</v>
      </c>
      <c r="I149" s="170">
        <v>108.3</v>
      </c>
      <c r="J149" s="176">
        <f t="shared" si="21"/>
        <v>69.37860345932096</v>
      </c>
      <c r="K149" s="170"/>
      <c r="L149" s="170"/>
      <c r="M149" s="170"/>
      <c r="N149" s="170"/>
      <c r="O149" s="171"/>
      <c r="P149" s="170">
        <f t="shared" si="22"/>
        <v>156.1</v>
      </c>
      <c r="Q149" s="170">
        <f t="shared" si="23"/>
        <v>108.3</v>
      </c>
      <c r="R149" s="171">
        <f t="shared" si="24"/>
        <v>-47.8</v>
      </c>
      <c r="S149" s="171">
        <f t="shared" si="25"/>
        <v>69.37860345932096</v>
      </c>
      <c r="T149" s="133"/>
    </row>
    <row r="150" spans="3:20" s="39" customFormat="1" ht="67.5" customHeight="1">
      <c r="C150" s="35"/>
      <c r="D150" s="35"/>
      <c r="E150" s="35"/>
      <c r="F150" s="119"/>
      <c r="G150" s="37" t="s">
        <v>608</v>
      </c>
      <c r="H150" s="170">
        <v>34.45</v>
      </c>
      <c r="I150" s="170">
        <v>24.2</v>
      </c>
      <c r="J150" s="176">
        <f t="shared" si="21"/>
        <v>70.24673439767778</v>
      </c>
      <c r="K150" s="170"/>
      <c r="L150" s="170"/>
      <c r="M150" s="170"/>
      <c r="N150" s="170"/>
      <c r="O150" s="171"/>
      <c r="P150" s="170">
        <f t="shared" si="22"/>
        <v>34.45</v>
      </c>
      <c r="Q150" s="170">
        <f t="shared" si="23"/>
        <v>24.2</v>
      </c>
      <c r="R150" s="171">
        <f t="shared" si="24"/>
        <v>-10.250000000000004</v>
      </c>
      <c r="S150" s="171">
        <f t="shared" si="25"/>
        <v>70.24673439767778</v>
      </c>
      <c r="T150" s="133"/>
    </row>
    <row r="151" spans="1:21" s="39" customFormat="1" ht="43.5" customHeight="1">
      <c r="A151" s="7">
        <v>12</v>
      </c>
      <c r="B151" s="7">
        <v>33</v>
      </c>
      <c r="C151" s="32" t="s">
        <v>156</v>
      </c>
      <c r="D151" s="32" t="s">
        <v>545</v>
      </c>
      <c r="E151" s="32" t="s">
        <v>446</v>
      </c>
      <c r="F151" s="115" t="s">
        <v>208</v>
      </c>
      <c r="G151" s="43" t="s">
        <v>651</v>
      </c>
      <c r="H151" s="170">
        <f>SUM(H152:H155)</f>
        <v>2254.4</v>
      </c>
      <c r="I151" s="170">
        <f>SUM(I152:I155)</f>
        <v>1344.4</v>
      </c>
      <c r="J151" s="176">
        <f t="shared" si="21"/>
        <v>59.63449254790631</v>
      </c>
      <c r="K151" s="170">
        <f>K152+K153+K154</f>
        <v>1.07231</v>
      </c>
      <c r="L151" s="170">
        <f>L152+L153+L154</f>
        <v>0</v>
      </c>
      <c r="M151" s="170">
        <f>M152+M153+M154</f>
        <v>1.07231</v>
      </c>
      <c r="N151" s="170">
        <f>N152+N153+N154</f>
        <v>0</v>
      </c>
      <c r="O151" s="171">
        <f>M151/K151*100</f>
        <v>100</v>
      </c>
      <c r="P151" s="170">
        <f t="shared" si="22"/>
        <v>2255.47231</v>
      </c>
      <c r="Q151" s="170">
        <f t="shared" si="23"/>
        <v>1345.47231</v>
      </c>
      <c r="R151" s="171">
        <f t="shared" si="24"/>
        <v>-910</v>
      </c>
      <c r="S151" s="171">
        <f t="shared" si="25"/>
        <v>59.6536833564585</v>
      </c>
      <c r="T151" s="133">
        <f>SUM(T152:T153)</f>
        <v>0</v>
      </c>
      <c r="U151" s="54"/>
    </row>
    <row r="152" spans="3:20" s="39" customFormat="1" ht="36.75" customHeight="1">
      <c r="C152" s="35" t="s">
        <v>92</v>
      </c>
      <c r="D152" s="35" t="s">
        <v>546</v>
      </c>
      <c r="E152" s="35" t="s">
        <v>446</v>
      </c>
      <c r="F152" s="119"/>
      <c r="G152" s="45" t="s">
        <v>652</v>
      </c>
      <c r="H152" s="170">
        <v>54</v>
      </c>
      <c r="I152" s="170">
        <v>54</v>
      </c>
      <c r="J152" s="176">
        <f t="shared" si="21"/>
        <v>100</v>
      </c>
      <c r="K152" s="170"/>
      <c r="L152" s="170"/>
      <c r="M152" s="170"/>
      <c r="N152" s="170"/>
      <c r="O152" s="171"/>
      <c r="P152" s="170">
        <f t="shared" si="22"/>
        <v>54</v>
      </c>
      <c r="Q152" s="170">
        <f t="shared" si="23"/>
        <v>54</v>
      </c>
      <c r="R152" s="171">
        <f t="shared" si="24"/>
        <v>0</v>
      </c>
      <c r="S152" s="171">
        <f t="shared" si="25"/>
        <v>100</v>
      </c>
      <c r="T152" s="133"/>
    </row>
    <row r="153" spans="3:21" s="39" customFormat="1" ht="45" customHeight="1">
      <c r="C153" s="35" t="s">
        <v>81</v>
      </c>
      <c r="D153" s="35" t="s">
        <v>547</v>
      </c>
      <c r="E153" s="35" t="s">
        <v>446</v>
      </c>
      <c r="F153" s="119"/>
      <c r="G153" s="45" t="s">
        <v>508</v>
      </c>
      <c r="H153" s="170">
        <v>1801.1</v>
      </c>
      <c r="I153" s="170">
        <v>891.1</v>
      </c>
      <c r="J153" s="176">
        <f t="shared" si="21"/>
        <v>49.475320637388265</v>
      </c>
      <c r="K153" s="170">
        <v>1.07231</v>
      </c>
      <c r="L153" s="170"/>
      <c r="M153" s="170">
        <v>1.07231</v>
      </c>
      <c r="N153" s="170">
        <v>0</v>
      </c>
      <c r="O153" s="171">
        <f>M153/K153*100</f>
        <v>100</v>
      </c>
      <c r="P153" s="170">
        <f t="shared" si="22"/>
        <v>1802.17231</v>
      </c>
      <c r="Q153" s="170">
        <f t="shared" si="23"/>
        <v>892.17231</v>
      </c>
      <c r="R153" s="171">
        <f t="shared" si="24"/>
        <v>-909.9999999999999</v>
      </c>
      <c r="S153" s="171">
        <f t="shared" si="25"/>
        <v>49.50538331154362</v>
      </c>
      <c r="T153" s="133"/>
      <c r="U153" s="51"/>
    </row>
    <row r="154" spans="3:21" s="39" customFormat="1" ht="51.75" customHeight="1">
      <c r="C154" s="35" t="s">
        <v>278</v>
      </c>
      <c r="D154" s="35" t="s">
        <v>689</v>
      </c>
      <c r="E154" s="35" t="s">
        <v>446</v>
      </c>
      <c r="F154" s="119"/>
      <c r="G154" s="45" t="s">
        <v>690</v>
      </c>
      <c r="H154" s="170">
        <v>399.3</v>
      </c>
      <c r="I154" s="170">
        <v>399.3</v>
      </c>
      <c r="J154" s="176">
        <f t="shared" si="21"/>
        <v>100</v>
      </c>
      <c r="K154" s="170"/>
      <c r="L154" s="170"/>
      <c r="M154" s="170"/>
      <c r="N154" s="170"/>
      <c r="O154" s="171"/>
      <c r="P154" s="170">
        <f t="shared" si="22"/>
        <v>399.3</v>
      </c>
      <c r="Q154" s="170">
        <f t="shared" si="23"/>
        <v>399.3</v>
      </c>
      <c r="R154" s="171">
        <f t="shared" si="24"/>
        <v>0</v>
      </c>
      <c r="S154" s="171">
        <f t="shared" si="25"/>
        <v>100</v>
      </c>
      <c r="T154" s="133"/>
      <c r="U154" s="51"/>
    </row>
    <row r="155" spans="3:20" s="39" customFormat="1" ht="201" customHeight="1" hidden="1">
      <c r="C155" s="35" t="s">
        <v>278</v>
      </c>
      <c r="D155" s="35"/>
      <c r="E155" s="35"/>
      <c r="F155" s="119"/>
      <c r="G155" s="45" t="s">
        <v>279</v>
      </c>
      <c r="H155" s="170"/>
      <c r="I155" s="170"/>
      <c r="J155" s="176" t="e">
        <f t="shared" si="21"/>
        <v>#DIV/0!</v>
      </c>
      <c r="K155" s="170"/>
      <c r="L155" s="170"/>
      <c r="M155" s="170"/>
      <c r="N155" s="170"/>
      <c r="O155" s="171"/>
      <c r="P155" s="170">
        <f t="shared" si="22"/>
        <v>0</v>
      </c>
      <c r="Q155" s="170">
        <f t="shared" si="23"/>
        <v>0</v>
      </c>
      <c r="R155" s="171">
        <f t="shared" si="24"/>
        <v>0</v>
      </c>
      <c r="S155" s="171" t="e">
        <f t="shared" si="25"/>
        <v>#DIV/0!</v>
      </c>
      <c r="T155" s="135"/>
    </row>
    <row r="156" spans="2:21" s="7" customFormat="1" ht="72" customHeight="1" hidden="1">
      <c r="B156" s="87">
        <v>34</v>
      </c>
      <c r="C156" s="32" t="s">
        <v>347</v>
      </c>
      <c r="D156" s="32" t="s">
        <v>457</v>
      </c>
      <c r="E156" s="32" t="s">
        <v>458</v>
      </c>
      <c r="F156" s="115" t="s">
        <v>3</v>
      </c>
      <c r="G156" s="42" t="s">
        <v>31</v>
      </c>
      <c r="H156" s="170"/>
      <c r="I156" s="166"/>
      <c r="J156" s="176" t="e">
        <f t="shared" si="21"/>
        <v>#DIV/0!</v>
      </c>
      <c r="K156" s="166"/>
      <c r="L156" s="166"/>
      <c r="M156" s="170"/>
      <c r="N156" s="170"/>
      <c r="O156" s="167">
        <f>SUM(O159:O160)</f>
        <v>0</v>
      </c>
      <c r="P156" s="170">
        <f t="shared" si="22"/>
        <v>0</v>
      </c>
      <c r="Q156" s="170">
        <f t="shared" si="23"/>
        <v>0</v>
      </c>
      <c r="R156" s="171">
        <f t="shared" si="24"/>
        <v>0</v>
      </c>
      <c r="S156" s="171" t="e">
        <f t="shared" si="25"/>
        <v>#DIV/0!</v>
      </c>
      <c r="T156" s="129">
        <f>SUM(T157:T160)</f>
        <v>0</v>
      </c>
      <c r="U156" s="22"/>
    </row>
    <row r="157" spans="3:21" s="39" customFormat="1" ht="19.5" customHeight="1" hidden="1">
      <c r="C157" s="35"/>
      <c r="D157" s="35"/>
      <c r="E157" s="35"/>
      <c r="F157" s="119"/>
      <c r="G157" s="52" t="s">
        <v>5</v>
      </c>
      <c r="H157" s="170"/>
      <c r="I157" s="170"/>
      <c r="J157" s="176" t="e">
        <f t="shared" si="21"/>
        <v>#DIV/0!</v>
      </c>
      <c r="K157" s="170"/>
      <c r="L157" s="170"/>
      <c r="M157" s="170"/>
      <c r="N157" s="170"/>
      <c r="O157" s="171"/>
      <c r="P157" s="170">
        <f t="shared" si="22"/>
        <v>0</v>
      </c>
      <c r="Q157" s="170">
        <f t="shared" si="23"/>
        <v>0</v>
      </c>
      <c r="R157" s="171">
        <f t="shared" si="24"/>
        <v>0</v>
      </c>
      <c r="S157" s="171" t="e">
        <f t="shared" si="25"/>
        <v>#DIV/0!</v>
      </c>
      <c r="T157" s="135"/>
      <c r="U157" s="54"/>
    </row>
    <row r="158" spans="3:21" s="39" customFormat="1" ht="78" customHeight="1" hidden="1">
      <c r="C158" s="35" t="s">
        <v>348</v>
      </c>
      <c r="D158" s="35"/>
      <c r="E158" s="35"/>
      <c r="F158" s="119"/>
      <c r="G158" s="45" t="s">
        <v>367</v>
      </c>
      <c r="H158" s="170"/>
      <c r="I158" s="170"/>
      <c r="J158" s="176" t="e">
        <f t="shared" si="21"/>
        <v>#DIV/0!</v>
      </c>
      <c r="K158" s="170"/>
      <c r="L158" s="170"/>
      <c r="M158" s="170"/>
      <c r="N158" s="170"/>
      <c r="O158" s="171">
        <f>SUM(O159:O160)</f>
        <v>0</v>
      </c>
      <c r="P158" s="170">
        <f t="shared" si="22"/>
        <v>0</v>
      </c>
      <c r="Q158" s="170">
        <f t="shared" si="23"/>
        <v>0</v>
      </c>
      <c r="R158" s="171">
        <f t="shared" si="24"/>
        <v>0</v>
      </c>
      <c r="S158" s="171" t="e">
        <f t="shared" si="25"/>
        <v>#DIV/0!</v>
      </c>
      <c r="T158" s="135"/>
      <c r="U158" s="54"/>
    </row>
    <row r="159" spans="3:21" s="39" customFormat="1" ht="115.5" customHeight="1" hidden="1">
      <c r="C159" s="35" t="s">
        <v>348</v>
      </c>
      <c r="D159" s="35"/>
      <c r="E159" s="35"/>
      <c r="F159" s="119"/>
      <c r="G159" s="45" t="s">
        <v>369</v>
      </c>
      <c r="H159" s="170"/>
      <c r="I159" s="170"/>
      <c r="J159" s="176" t="e">
        <f t="shared" si="21"/>
        <v>#DIV/0!</v>
      </c>
      <c r="K159" s="170"/>
      <c r="L159" s="170"/>
      <c r="M159" s="170"/>
      <c r="N159" s="170"/>
      <c r="O159" s="171"/>
      <c r="P159" s="170">
        <f t="shared" si="22"/>
        <v>0</v>
      </c>
      <c r="Q159" s="170">
        <f t="shared" si="23"/>
        <v>0</v>
      </c>
      <c r="R159" s="171">
        <f t="shared" si="24"/>
        <v>0</v>
      </c>
      <c r="S159" s="171" t="e">
        <f t="shared" si="25"/>
        <v>#DIV/0!</v>
      </c>
      <c r="T159" s="135"/>
      <c r="U159" s="54"/>
    </row>
    <row r="160" spans="3:21" s="39" customFormat="1" ht="99" customHeight="1" hidden="1">
      <c r="C160" s="35" t="s">
        <v>368</v>
      </c>
      <c r="D160" s="35"/>
      <c r="E160" s="35"/>
      <c r="F160" s="119"/>
      <c r="G160" s="37" t="s">
        <v>370</v>
      </c>
      <c r="H160" s="170"/>
      <c r="I160" s="170"/>
      <c r="J160" s="176" t="e">
        <f t="shared" si="21"/>
        <v>#DIV/0!</v>
      </c>
      <c r="K160" s="170"/>
      <c r="L160" s="170"/>
      <c r="M160" s="170"/>
      <c r="N160" s="170"/>
      <c r="O160" s="171"/>
      <c r="P160" s="170">
        <f t="shared" si="22"/>
        <v>0</v>
      </c>
      <c r="Q160" s="170">
        <f t="shared" si="23"/>
        <v>0</v>
      </c>
      <c r="R160" s="171">
        <f t="shared" si="24"/>
        <v>0</v>
      </c>
      <c r="S160" s="171" t="e">
        <f t="shared" si="25"/>
        <v>#DIV/0!</v>
      </c>
      <c r="T160" s="135"/>
      <c r="U160" s="54"/>
    </row>
    <row r="161" spans="3:21" s="7" customFormat="1" ht="81.75" customHeight="1">
      <c r="C161" s="32" t="s">
        <v>364</v>
      </c>
      <c r="D161" s="32" t="s">
        <v>459</v>
      </c>
      <c r="E161" s="32" t="s">
        <v>548</v>
      </c>
      <c r="F161" s="115" t="s">
        <v>332</v>
      </c>
      <c r="G161" s="43" t="s">
        <v>333</v>
      </c>
      <c r="H161" s="166">
        <v>73.5</v>
      </c>
      <c r="I161" s="166">
        <v>63.2</v>
      </c>
      <c r="J161" s="176">
        <f t="shared" si="21"/>
        <v>85.98639455782313</v>
      </c>
      <c r="K161" s="166">
        <f>99.9</f>
        <v>99.9</v>
      </c>
      <c r="L161" s="166"/>
      <c r="M161" s="166">
        <f>98.7</f>
        <v>98.7</v>
      </c>
      <c r="N161" s="166">
        <v>0</v>
      </c>
      <c r="O161" s="167">
        <f aca="true" t="shared" si="26" ref="O161:O166">M161/K161*100</f>
        <v>98.7987987987988</v>
      </c>
      <c r="P161" s="170">
        <f t="shared" si="22"/>
        <v>173.4</v>
      </c>
      <c r="Q161" s="170">
        <f t="shared" si="23"/>
        <v>161.9</v>
      </c>
      <c r="R161" s="171">
        <f t="shared" si="24"/>
        <v>-11.5</v>
      </c>
      <c r="S161" s="171">
        <f t="shared" si="25"/>
        <v>93.3679354094579</v>
      </c>
      <c r="T161" s="134"/>
      <c r="U161" s="22"/>
    </row>
    <row r="162" spans="3:21" s="7" customFormat="1" ht="47.25" customHeight="1">
      <c r="C162" s="32" t="s">
        <v>656</v>
      </c>
      <c r="D162" s="32" t="s">
        <v>657</v>
      </c>
      <c r="E162" s="32" t="s">
        <v>465</v>
      </c>
      <c r="F162" s="115"/>
      <c r="G162" s="33" t="s">
        <v>660</v>
      </c>
      <c r="H162" s="166">
        <f>I162+L162</f>
        <v>0</v>
      </c>
      <c r="I162" s="166">
        <v>0</v>
      </c>
      <c r="J162" s="176"/>
      <c r="K162" s="166">
        <f>K163</f>
        <v>500</v>
      </c>
      <c r="L162" s="166"/>
      <c r="M162" s="166">
        <f>M163</f>
        <v>0</v>
      </c>
      <c r="N162" s="166">
        <f>N163</f>
        <v>0</v>
      </c>
      <c r="O162" s="167">
        <f t="shared" si="26"/>
        <v>0</v>
      </c>
      <c r="P162" s="170">
        <f t="shared" si="22"/>
        <v>500</v>
      </c>
      <c r="Q162" s="170">
        <f t="shared" si="23"/>
        <v>0</v>
      </c>
      <c r="R162" s="171">
        <f t="shared" si="24"/>
        <v>-500</v>
      </c>
      <c r="S162" s="171">
        <f t="shared" si="25"/>
        <v>0</v>
      </c>
      <c r="T162" s="14">
        <f>T163</f>
        <v>500</v>
      </c>
      <c r="U162" s="22"/>
    </row>
    <row r="163" spans="3:21" s="7" customFormat="1" ht="139.5" customHeight="1">
      <c r="C163" s="35" t="s">
        <v>658</v>
      </c>
      <c r="D163" s="35" t="s">
        <v>659</v>
      </c>
      <c r="E163" s="35" t="s">
        <v>465</v>
      </c>
      <c r="F163" s="115"/>
      <c r="G163" s="45" t="s">
        <v>673</v>
      </c>
      <c r="H163" s="166">
        <f>I163+L163</f>
        <v>0</v>
      </c>
      <c r="I163" s="166">
        <v>0</v>
      </c>
      <c r="J163" s="176"/>
      <c r="K163" s="166">
        <v>500</v>
      </c>
      <c r="L163" s="166"/>
      <c r="M163" s="166">
        <v>0</v>
      </c>
      <c r="N163" s="166">
        <v>0</v>
      </c>
      <c r="O163" s="167">
        <f t="shared" si="26"/>
        <v>0</v>
      </c>
      <c r="P163" s="170">
        <f t="shared" si="22"/>
        <v>500</v>
      </c>
      <c r="Q163" s="170">
        <f t="shared" si="23"/>
        <v>0</v>
      </c>
      <c r="R163" s="171">
        <f t="shared" si="24"/>
        <v>-500</v>
      </c>
      <c r="S163" s="171">
        <f t="shared" si="25"/>
        <v>0</v>
      </c>
      <c r="T163" s="14">
        <v>500</v>
      </c>
      <c r="U163" s="22"/>
    </row>
    <row r="164" spans="3:21" s="7" customFormat="1" ht="115.5" customHeight="1">
      <c r="C164" s="35"/>
      <c r="D164" s="32" t="s">
        <v>457</v>
      </c>
      <c r="E164" s="32" t="s">
        <v>458</v>
      </c>
      <c r="G164" s="33" t="s">
        <v>738</v>
      </c>
      <c r="H164" s="166">
        <f>H165</f>
        <v>0</v>
      </c>
      <c r="I164" s="166">
        <f>I165</f>
        <v>0</v>
      </c>
      <c r="J164" s="176"/>
      <c r="K164" s="166">
        <f>K165</f>
        <v>111.6</v>
      </c>
      <c r="L164" s="166">
        <f>L165</f>
        <v>0</v>
      </c>
      <c r="M164" s="166">
        <f>M165</f>
        <v>15.6</v>
      </c>
      <c r="N164" s="166">
        <f>N165</f>
        <v>0</v>
      </c>
      <c r="O164" s="167">
        <f t="shared" si="26"/>
        <v>13.978494623655916</v>
      </c>
      <c r="P164" s="170">
        <f>H164+K164</f>
        <v>111.6</v>
      </c>
      <c r="Q164" s="170">
        <f>I164+M164</f>
        <v>15.6</v>
      </c>
      <c r="R164" s="171">
        <f>Q164-P164</f>
        <v>-96</v>
      </c>
      <c r="S164" s="171">
        <f>Q164/P164*100</f>
        <v>13.978494623655916</v>
      </c>
      <c r="T164" s="14"/>
      <c r="U164" s="22"/>
    </row>
    <row r="165" spans="3:21" s="7" customFormat="1" ht="66.75" customHeight="1">
      <c r="C165" s="35"/>
      <c r="D165" s="35" t="s">
        <v>664</v>
      </c>
      <c r="E165" s="35" t="s">
        <v>458</v>
      </c>
      <c r="G165" s="45" t="s">
        <v>739</v>
      </c>
      <c r="H165" s="166"/>
      <c r="I165" s="166"/>
      <c r="J165" s="176"/>
      <c r="K165" s="166">
        <v>111.6</v>
      </c>
      <c r="L165" s="166"/>
      <c r="M165" s="166">
        <v>15.6</v>
      </c>
      <c r="N165" s="166"/>
      <c r="O165" s="167">
        <f t="shared" si="26"/>
        <v>13.978494623655916</v>
      </c>
      <c r="P165" s="170">
        <f>H165+K165</f>
        <v>111.6</v>
      </c>
      <c r="Q165" s="170">
        <f>I165+M165</f>
        <v>15.6</v>
      </c>
      <c r="R165" s="171">
        <f>Q165-P165</f>
        <v>-96</v>
      </c>
      <c r="S165" s="171">
        <f>Q165/P165*100</f>
        <v>13.978494623655916</v>
      </c>
      <c r="T165" s="14"/>
      <c r="U165" s="22"/>
    </row>
    <row r="166" spans="3:21" s="7" customFormat="1" ht="44.25" customHeight="1">
      <c r="C166" s="35"/>
      <c r="D166" s="35"/>
      <c r="E166" s="35"/>
      <c r="F166" s="115"/>
      <c r="G166" s="64" t="s">
        <v>137</v>
      </c>
      <c r="H166" s="174">
        <f>H68+H69+H70+H78+H86+H92+H100+H105+H116+H126+H127+H128+H129+H132+H135+H139+H142+H151+H161+H162</f>
        <v>132489.2869</v>
      </c>
      <c r="I166" s="174">
        <f>I68+I69+I70+I78+I86+I92+I100+I105+I116+I126+I127+I128+I129+I132+I135+I139+I142+I151+I161+I162</f>
        <v>95239.70000000001</v>
      </c>
      <c r="J166" s="188">
        <f>I166/H166*100</f>
        <v>71.88483101421237</v>
      </c>
      <c r="K166" s="174">
        <f>K68+K69+K70+K78+K86+K92+K100+K105+K116+K126+K127+K128+K129+K135+K139+K142+K151+K161+K162+K164</f>
        <v>11001.872309999999</v>
      </c>
      <c r="L166" s="174">
        <f>L68+L69+L70+L78+L86+L92+L100+L105+L116+L126+L127+L128+L129+L135+L139+L142+L151+L161+L162+L164</f>
        <v>0</v>
      </c>
      <c r="M166" s="174">
        <f>M68+M69+M70+M78+M86+M92+M100+M105+M116+M126+M127+M128+M129+M135+M139+M142+M151+M161+M162+M164</f>
        <v>8204.272309999998</v>
      </c>
      <c r="N166" s="174">
        <f>N68+N69+N70+N78+N86+N92+N100+N105+N116+N126+N127+N128+N129+N135+N139+N142+N151+N161+N162+N164</f>
        <v>2398.2000000000003</v>
      </c>
      <c r="O166" s="175">
        <f t="shared" si="26"/>
        <v>74.57160089508437</v>
      </c>
      <c r="P166" s="174">
        <f>H166+K166</f>
        <v>143491.15921</v>
      </c>
      <c r="Q166" s="174">
        <f>I166+M166</f>
        <v>103443.97231000001</v>
      </c>
      <c r="R166" s="175">
        <f>Q166-P166</f>
        <v>-40047.1869</v>
      </c>
      <c r="S166" s="175">
        <f>Q166/P166*100</f>
        <v>72.09083324681296</v>
      </c>
      <c r="T166" s="14"/>
      <c r="U166" s="22"/>
    </row>
    <row r="167" spans="3:21" s="50" customFormat="1" ht="48.75" customHeight="1">
      <c r="C167" s="30" t="s">
        <v>172</v>
      </c>
      <c r="D167" s="30"/>
      <c r="E167" s="30"/>
      <c r="F167" s="121"/>
      <c r="G167" s="86" t="s">
        <v>174</v>
      </c>
      <c r="H167" s="174"/>
      <c r="I167" s="174"/>
      <c r="J167" s="176"/>
      <c r="K167" s="174"/>
      <c r="L167" s="174"/>
      <c r="M167" s="174"/>
      <c r="N167" s="174"/>
      <c r="O167" s="175"/>
      <c r="P167" s="174"/>
      <c r="Q167" s="174"/>
      <c r="R167" s="175"/>
      <c r="S167" s="175"/>
      <c r="T167" s="136"/>
      <c r="U167" s="53"/>
    </row>
    <row r="168" spans="3:21" s="7" customFormat="1" ht="51.75" customHeight="1">
      <c r="C168" s="32" t="s">
        <v>173</v>
      </c>
      <c r="D168" s="32"/>
      <c r="E168" s="32"/>
      <c r="F168" s="115"/>
      <c r="G168" s="48" t="s">
        <v>175</v>
      </c>
      <c r="H168" s="166"/>
      <c r="I168" s="166"/>
      <c r="J168" s="176"/>
      <c r="K168" s="166"/>
      <c r="L168" s="166"/>
      <c r="M168" s="166"/>
      <c r="N168" s="166"/>
      <c r="O168" s="167"/>
      <c r="P168" s="166"/>
      <c r="Q168" s="166"/>
      <c r="R168" s="167"/>
      <c r="S168" s="167"/>
      <c r="T168" s="129"/>
      <c r="U168" s="22"/>
    </row>
    <row r="169" spans="1:20" s="7" customFormat="1" ht="98.25" customHeight="1">
      <c r="A169" s="7">
        <v>4</v>
      </c>
      <c r="B169" s="7">
        <v>35</v>
      </c>
      <c r="C169" s="32" t="s">
        <v>299</v>
      </c>
      <c r="D169" s="32" t="s">
        <v>420</v>
      </c>
      <c r="E169" s="32" t="s">
        <v>421</v>
      </c>
      <c r="F169" s="115" t="s">
        <v>196</v>
      </c>
      <c r="G169" s="33" t="s">
        <v>603</v>
      </c>
      <c r="H169" s="166">
        <v>1190.2</v>
      </c>
      <c r="I169" s="166">
        <v>1124.7</v>
      </c>
      <c r="J169" s="176">
        <f t="shared" si="21"/>
        <v>94.49672323979163</v>
      </c>
      <c r="K169" s="166">
        <v>16.815</v>
      </c>
      <c r="L169" s="166"/>
      <c r="M169" s="166">
        <v>12.4</v>
      </c>
      <c r="N169" s="166">
        <v>0</v>
      </c>
      <c r="O169" s="167">
        <f>M169/K169*100</f>
        <v>73.74368123699078</v>
      </c>
      <c r="P169" s="166">
        <f>H169+K169</f>
        <v>1207.015</v>
      </c>
      <c r="Q169" s="166">
        <f>I169+M169</f>
        <v>1137.1000000000001</v>
      </c>
      <c r="R169" s="167">
        <f>Q169-P169</f>
        <v>-69.91499999999996</v>
      </c>
      <c r="S169" s="167">
        <f>Q169/P169*100</f>
        <v>94.20761133871576</v>
      </c>
      <c r="T169" s="129"/>
    </row>
    <row r="170" spans="3:20" s="7" customFormat="1" ht="44.25" customHeight="1">
      <c r="C170" s="32" t="s">
        <v>324</v>
      </c>
      <c r="D170" s="32" t="s">
        <v>549</v>
      </c>
      <c r="E170" s="32"/>
      <c r="F170" s="115"/>
      <c r="G170" s="33" t="s">
        <v>326</v>
      </c>
      <c r="H170" s="166">
        <f>H171</f>
        <v>5</v>
      </c>
      <c r="I170" s="166">
        <f>I171</f>
        <v>0</v>
      </c>
      <c r="J170" s="176">
        <f t="shared" si="21"/>
        <v>0</v>
      </c>
      <c r="K170" s="166"/>
      <c r="L170" s="166"/>
      <c r="M170" s="166"/>
      <c r="N170" s="166"/>
      <c r="O170" s="167"/>
      <c r="P170" s="166">
        <f>H170+K170</f>
        <v>5</v>
      </c>
      <c r="Q170" s="166">
        <f>I170+M170</f>
        <v>0</v>
      </c>
      <c r="R170" s="167">
        <f>Q170-P170</f>
        <v>-5</v>
      </c>
      <c r="S170" s="167">
        <f>Q170/P170*100</f>
        <v>0</v>
      </c>
      <c r="T170" s="129">
        <f>T171</f>
        <v>0</v>
      </c>
    </row>
    <row r="171" spans="3:20" s="39" customFormat="1" ht="82.5" customHeight="1">
      <c r="C171" s="35" t="s">
        <v>327</v>
      </c>
      <c r="D171" s="35" t="s">
        <v>550</v>
      </c>
      <c r="E171" s="35" t="s">
        <v>463</v>
      </c>
      <c r="F171" s="119" t="s">
        <v>325</v>
      </c>
      <c r="G171" s="45" t="s">
        <v>417</v>
      </c>
      <c r="H171" s="170">
        <v>5</v>
      </c>
      <c r="I171" s="170">
        <v>0</v>
      </c>
      <c r="J171" s="176">
        <f t="shared" si="21"/>
        <v>0</v>
      </c>
      <c r="K171" s="170"/>
      <c r="L171" s="170"/>
      <c r="M171" s="170"/>
      <c r="N171" s="170"/>
      <c r="O171" s="171"/>
      <c r="P171" s="166">
        <f>H171+K171</f>
        <v>5</v>
      </c>
      <c r="Q171" s="166">
        <f>I171+M171</f>
        <v>0</v>
      </c>
      <c r="R171" s="167">
        <f>Q171-P171</f>
        <v>-5</v>
      </c>
      <c r="S171" s="167">
        <f>Q171/P171*100</f>
        <v>0</v>
      </c>
      <c r="T171" s="133"/>
    </row>
    <row r="172" spans="3:22" s="50" customFormat="1" ht="29.25" customHeight="1">
      <c r="C172" s="30"/>
      <c r="D172" s="30"/>
      <c r="E172" s="30"/>
      <c r="F172" s="121"/>
      <c r="G172" s="64" t="s">
        <v>137</v>
      </c>
      <c r="H172" s="174">
        <f>H169+H170</f>
        <v>1195.2</v>
      </c>
      <c r="I172" s="174">
        <f>I169+I170</f>
        <v>1124.7</v>
      </c>
      <c r="J172" s="176">
        <f t="shared" si="21"/>
        <v>94.10140562248996</v>
      </c>
      <c r="K172" s="174">
        <f aca="true" t="shared" si="27" ref="K172:T172">K169+K170</f>
        <v>16.815</v>
      </c>
      <c r="L172" s="174">
        <f t="shared" si="27"/>
        <v>0</v>
      </c>
      <c r="M172" s="174">
        <f t="shared" si="27"/>
        <v>12.4</v>
      </c>
      <c r="N172" s="174">
        <f t="shared" si="27"/>
        <v>0</v>
      </c>
      <c r="O172" s="175">
        <f t="shared" si="27"/>
        <v>73.74368123699078</v>
      </c>
      <c r="P172" s="174">
        <f t="shared" si="27"/>
        <v>1212.015</v>
      </c>
      <c r="Q172" s="174">
        <f t="shared" si="27"/>
        <v>1137.1000000000001</v>
      </c>
      <c r="R172" s="175">
        <f>Q172-P172</f>
        <v>-74.91499999999996</v>
      </c>
      <c r="S172" s="175">
        <f>Q172/P172*100</f>
        <v>93.818970887324</v>
      </c>
      <c r="T172" s="63">
        <f t="shared" si="27"/>
        <v>0</v>
      </c>
      <c r="U172" s="53"/>
      <c r="V172" s="53"/>
    </row>
    <row r="173" spans="3:21" s="50" customFormat="1" ht="57" customHeight="1">
      <c r="C173" s="30" t="s">
        <v>165</v>
      </c>
      <c r="D173" s="30"/>
      <c r="E173" s="30"/>
      <c r="F173" s="121"/>
      <c r="G173" s="85" t="s">
        <v>406</v>
      </c>
      <c r="H173" s="174"/>
      <c r="I173" s="174"/>
      <c r="J173" s="176"/>
      <c r="K173" s="174"/>
      <c r="L173" s="174"/>
      <c r="M173" s="174"/>
      <c r="N173" s="174"/>
      <c r="O173" s="175"/>
      <c r="P173" s="174"/>
      <c r="Q173" s="174"/>
      <c r="R173" s="175"/>
      <c r="S173" s="175"/>
      <c r="T173" s="136"/>
      <c r="U173" s="53"/>
    </row>
    <row r="174" spans="3:21" s="7" customFormat="1" ht="57.75" customHeight="1">
      <c r="C174" s="151" t="s">
        <v>166</v>
      </c>
      <c r="D174" s="30"/>
      <c r="E174" s="30"/>
      <c r="F174" s="121"/>
      <c r="G174" s="31" t="s">
        <v>405</v>
      </c>
      <c r="H174" s="166"/>
      <c r="I174" s="166"/>
      <c r="J174" s="176"/>
      <c r="K174" s="166"/>
      <c r="L174" s="166"/>
      <c r="M174" s="166"/>
      <c r="N174" s="166"/>
      <c r="O174" s="167"/>
      <c r="P174" s="166"/>
      <c r="Q174" s="166"/>
      <c r="R174" s="167"/>
      <c r="S174" s="167"/>
      <c r="T174" s="129"/>
      <c r="U174" s="22"/>
    </row>
    <row r="175" spans="1:20" s="7" customFormat="1" ht="103.5" customHeight="1">
      <c r="A175" s="7">
        <v>7</v>
      </c>
      <c r="B175" s="7">
        <v>47</v>
      </c>
      <c r="C175" s="32" t="s">
        <v>304</v>
      </c>
      <c r="D175" s="32" t="s">
        <v>420</v>
      </c>
      <c r="E175" s="32" t="s">
        <v>421</v>
      </c>
      <c r="F175" s="115" t="s">
        <v>196</v>
      </c>
      <c r="G175" s="33" t="s">
        <v>40</v>
      </c>
      <c r="H175" s="168">
        <v>820.7</v>
      </c>
      <c r="I175" s="168">
        <v>761.3</v>
      </c>
      <c r="J175" s="176">
        <f aca="true" t="shared" si="28" ref="J175:J240">I175/H175*100</f>
        <v>92.76227610576336</v>
      </c>
      <c r="K175" s="168">
        <v>6.3</v>
      </c>
      <c r="L175" s="168"/>
      <c r="M175" s="166">
        <v>6.3</v>
      </c>
      <c r="N175" s="166">
        <v>6.3</v>
      </c>
      <c r="O175" s="176"/>
      <c r="P175" s="168">
        <f>H175+K175</f>
        <v>827</v>
      </c>
      <c r="Q175" s="168">
        <f>I175+M175</f>
        <v>767.5999999999999</v>
      </c>
      <c r="R175" s="176">
        <f aca="true" t="shared" si="29" ref="R175:R182">Q175-P175</f>
        <v>-59.40000000000009</v>
      </c>
      <c r="S175" s="176">
        <f aca="true" t="shared" si="30" ref="S175:S182">Q175/P175*100</f>
        <v>92.81741233373639</v>
      </c>
      <c r="T175" s="130"/>
    </row>
    <row r="176" spans="1:20" s="7" customFormat="1" ht="45" customHeight="1">
      <c r="A176" s="7">
        <v>1</v>
      </c>
      <c r="B176" s="7">
        <v>52</v>
      </c>
      <c r="C176" s="32" t="s">
        <v>123</v>
      </c>
      <c r="D176" s="32" t="s">
        <v>577</v>
      </c>
      <c r="E176" s="32" t="s">
        <v>463</v>
      </c>
      <c r="F176" s="115" t="s">
        <v>629</v>
      </c>
      <c r="G176" s="33" t="s">
        <v>624</v>
      </c>
      <c r="H176" s="166">
        <f>H177</f>
        <v>85</v>
      </c>
      <c r="I176" s="166">
        <f>I177</f>
        <v>42.3</v>
      </c>
      <c r="J176" s="176">
        <f t="shared" si="28"/>
        <v>49.76470588235294</v>
      </c>
      <c r="K176" s="166"/>
      <c r="L176" s="166"/>
      <c r="M176" s="166"/>
      <c r="N176" s="166"/>
      <c r="O176" s="169"/>
      <c r="P176" s="168">
        <f>H176+K176</f>
        <v>85</v>
      </c>
      <c r="Q176" s="168">
        <f>I176+M176</f>
        <v>42.3</v>
      </c>
      <c r="R176" s="176">
        <f t="shared" si="29"/>
        <v>-42.7</v>
      </c>
      <c r="S176" s="176">
        <f t="shared" si="30"/>
        <v>49.76470588235294</v>
      </c>
      <c r="T176" s="129"/>
    </row>
    <row r="177" spans="3:20" s="39" customFormat="1" ht="69" customHeight="1">
      <c r="C177" s="35" t="s">
        <v>619</v>
      </c>
      <c r="D177" s="35" t="s">
        <v>620</v>
      </c>
      <c r="E177" s="35" t="s">
        <v>463</v>
      </c>
      <c r="F177" s="119"/>
      <c r="G177" s="45" t="s">
        <v>628</v>
      </c>
      <c r="H177" s="170">
        <v>85</v>
      </c>
      <c r="I177" s="170">
        <v>42.3</v>
      </c>
      <c r="J177" s="176">
        <f t="shared" si="28"/>
        <v>49.76470588235294</v>
      </c>
      <c r="K177" s="170"/>
      <c r="L177" s="170"/>
      <c r="M177" s="170"/>
      <c r="N177" s="170"/>
      <c r="O177" s="172"/>
      <c r="P177" s="168">
        <f>H177+K177</f>
        <v>85</v>
      </c>
      <c r="Q177" s="168">
        <f>I177+M177</f>
        <v>42.3</v>
      </c>
      <c r="R177" s="176">
        <f t="shared" si="29"/>
        <v>-42.7</v>
      </c>
      <c r="S177" s="176">
        <f t="shared" si="30"/>
        <v>49.76470588235294</v>
      </c>
      <c r="T177" s="133"/>
    </row>
    <row r="178" spans="3:20" s="7" customFormat="1" ht="27" customHeight="1">
      <c r="C178" s="32"/>
      <c r="D178" s="32"/>
      <c r="E178" s="32"/>
      <c r="F178" s="115" t="s">
        <v>249</v>
      </c>
      <c r="G178" s="43" t="s">
        <v>250</v>
      </c>
      <c r="H178" s="166">
        <f>SUM(H180:H182)+H185+H186</f>
        <v>7906.1</v>
      </c>
      <c r="I178" s="166">
        <f>SUM(I180:I182)+I185+I186</f>
        <v>5522.73301</v>
      </c>
      <c r="J178" s="176">
        <f t="shared" si="28"/>
        <v>69.85407482829713</v>
      </c>
      <c r="K178" s="166">
        <f>SUM(K180:K182)+K185+K186</f>
        <v>761.69965</v>
      </c>
      <c r="L178" s="166">
        <f>SUM(L180:L182)+L185+L186</f>
        <v>0</v>
      </c>
      <c r="M178" s="166">
        <f>SUM(M180:M182)+M185+M186</f>
        <v>511.16629</v>
      </c>
      <c r="N178" s="166">
        <f>SUM(N180:N182)+N185+N186</f>
        <v>370.35164</v>
      </c>
      <c r="O178" s="167">
        <f>M178/K178*100</f>
        <v>67.10864183802632</v>
      </c>
      <c r="P178" s="166">
        <f>H178+K178</f>
        <v>8667.79965</v>
      </c>
      <c r="Q178" s="166">
        <f>I178+M178</f>
        <v>6033.8993</v>
      </c>
      <c r="R178" s="167">
        <f t="shared" si="29"/>
        <v>-2633.900350000001</v>
      </c>
      <c r="S178" s="167">
        <f t="shared" si="30"/>
        <v>69.6128145970702</v>
      </c>
      <c r="T178" s="129">
        <f>SUM(T180:T186)</f>
        <v>343.22</v>
      </c>
    </row>
    <row r="179" spans="3:22" s="7" customFormat="1" ht="28.5" customHeight="1">
      <c r="C179" s="32"/>
      <c r="D179" s="32"/>
      <c r="E179" s="32"/>
      <c r="F179" s="115" t="s">
        <v>249</v>
      </c>
      <c r="G179" s="33" t="s">
        <v>188</v>
      </c>
      <c r="H179" s="166">
        <f>H180+H181+H182+H185+H187-H184+H199</f>
        <v>9514.7</v>
      </c>
      <c r="I179" s="166">
        <f>I180+I181+I182+I185+I187-I184+I199</f>
        <v>6429</v>
      </c>
      <c r="J179" s="176">
        <f t="shared" si="28"/>
        <v>67.56912987272325</v>
      </c>
      <c r="K179" s="166">
        <f>K180+K181+K182+K185+K187-K184</f>
        <v>403.69965</v>
      </c>
      <c r="L179" s="166">
        <f>L180+L181+L182+L185+L187-L184</f>
        <v>0</v>
      </c>
      <c r="M179" s="166">
        <f>M180+M181+M182+M185+M187-M184</f>
        <v>227.46629000000001</v>
      </c>
      <c r="N179" s="166">
        <f>N180+N181+N182+N185+N187-N184</f>
        <v>96.45164</v>
      </c>
      <c r="O179" s="167">
        <f>M179/K179*100</f>
        <v>56.345426606141466</v>
      </c>
      <c r="P179" s="166">
        <f aca="true" t="shared" si="31" ref="P179:P188">H179+K179</f>
        <v>9918.399650000001</v>
      </c>
      <c r="Q179" s="166">
        <f aca="true" t="shared" si="32" ref="Q179:Q188">I179+M179</f>
        <v>6656.46629</v>
      </c>
      <c r="R179" s="167">
        <f t="shared" si="29"/>
        <v>-3261.933360000001</v>
      </c>
      <c r="S179" s="167">
        <f t="shared" si="30"/>
        <v>67.11230163023325</v>
      </c>
      <c r="T179" s="129">
        <f>SUM(T180:T187)</f>
        <v>343.22</v>
      </c>
      <c r="U179" s="22"/>
      <c r="V179" s="22"/>
    </row>
    <row r="180" spans="1:20" s="7" customFormat="1" ht="24" customHeight="1">
      <c r="A180" s="7">
        <v>1</v>
      </c>
      <c r="B180" s="7">
        <v>48</v>
      </c>
      <c r="C180" s="32" t="s">
        <v>119</v>
      </c>
      <c r="D180" s="32" t="s">
        <v>566</v>
      </c>
      <c r="E180" s="32" t="s">
        <v>567</v>
      </c>
      <c r="F180" s="115" t="s">
        <v>235</v>
      </c>
      <c r="G180" s="43" t="s">
        <v>251</v>
      </c>
      <c r="H180" s="166">
        <v>784.4</v>
      </c>
      <c r="I180" s="166">
        <v>589.4</v>
      </c>
      <c r="J180" s="176">
        <f t="shared" si="28"/>
        <v>75.14023457419684</v>
      </c>
      <c r="K180" s="166">
        <v>29.31465</v>
      </c>
      <c r="L180" s="166"/>
      <c r="M180" s="166">
        <v>29.31465</v>
      </c>
      <c r="N180" s="166">
        <v>0</v>
      </c>
      <c r="O180" s="167">
        <f>M180/K180*100</f>
        <v>100</v>
      </c>
      <c r="P180" s="166">
        <f t="shared" si="31"/>
        <v>813.71465</v>
      </c>
      <c r="Q180" s="166">
        <f t="shared" si="32"/>
        <v>618.71465</v>
      </c>
      <c r="R180" s="167">
        <f t="shared" si="29"/>
        <v>-195</v>
      </c>
      <c r="S180" s="167">
        <f t="shared" si="30"/>
        <v>76.03582533508522</v>
      </c>
      <c r="T180" s="129"/>
    </row>
    <row r="181" spans="1:20" s="7" customFormat="1" ht="29.25" customHeight="1">
      <c r="A181" s="7">
        <v>2</v>
      </c>
      <c r="B181" s="7">
        <v>49</v>
      </c>
      <c r="C181" s="32" t="s">
        <v>120</v>
      </c>
      <c r="D181" s="32" t="s">
        <v>568</v>
      </c>
      <c r="E181" s="32" t="s">
        <v>567</v>
      </c>
      <c r="F181" s="115" t="s">
        <v>239</v>
      </c>
      <c r="G181" s="33" t="s">
        <v>252</v>
      </c>
      <c r="H181" s="166">
        <v>567.7</v>
      </c>
      <c r="I181" s="166">
        <v>356.4</v>
      </c>
      <c r="J181" s="176">
        <f t="shared" si="28"/>
        <v>62.779637132288165</v>
      </c>
      <c r="K181" s="166">
        <v>50</v>
      </c>
      <c r="L181" s="166"/>
      <c r="M181" s="166">
        <v>44.65164</v>
      </c>
      <c r="N181" s="166">
        <v>44.65164</v>
      </c>
      <c r="O181" s="167">
        <f aca="true" t="shared" si="33" ref="O181:O188">M181/K181*100</f>
        <v>89.30328</v>
      </c>
      <c r="P181" s="166">
        <f t="shared" si="31"/>
        <v>617.7</v>
      </c>
      <c r="Q181" s="166">
        <f t="shared" si="32"/>
        <v>401.05163999999996</v>
      </c>
      <c r="R181" s="167">
        <f t="shared" si="29"/>
        <v>-216.64836000000008</v>
      </c>
      <c r="S181" s="167">
        <f t="shared" si="30"/>
        <v>64.92660514813015</v>
      </c>
      <c r="T181" s="14">
        <v>50</v>
      </c>
    </row>
    <row r="182" spans="3:20" s="7" customFormat="1" ht="42" customHeight="1">
      <c r="C182" s="32" t="s">
        <v>569</v>
      </c>
      <c r="D182" s="32" t="s">
        <v>570</v>
      </c>
      <c r="E182" s="32" t="s">
        <v>571</v>
      </c>
      <c r="F182" s="115" t="s">
        <v>418</v>
      </c>
      <c r="G182" s="33" t="s">
        <v>719</v>
      </c>
      <c r="H182" s="166">
        <f>H183+H184</f>
        <v>617.5</v>
      </c>
      <c r="I182" s="166">
        <f>I183+I184</f>
        <v>308.3</v>
      </c>
      <c r="J182" s="176">
        <f t="shared" si="28"/>
        <v>49.927125506072876</v>
      </c>
      <c r="K182" s="166">
        <f>K183+K184</f>
        <v>117.5</v>
      </c>
      <c r="L182" s="166">
        <f>L183+L184</f>
        <v>0</v>
      </c>
      <c r="M182" s="166">
        <f>M183+M184</f>
        <v>45.5</v>
      </c>
      <c r="N182" s="166">
        <f>N183+N184</f>
        <v>45.5</v>
      </c>
      <c r="O182" s="167">
        <f t="shared" si="33"/>
        <v>38.72340425531915</v>
      </c>
      <c r="P182" s="166">
        <f>H182+K182</f>
        <v>735</v>
      </c>
      <c r="Q182" s="166">
        <f t="shared" si="32"/>
        <v>353.8</v>
      </c>
      <c r="R182" s="167">
        <f t="shared" si="29"/>
        <v>-381.2</v>
      </c>
      <c r="S182" s="167">
        <f t="shared" si="30"/>
        <v>48.13605442176871</v>
      </c>
      <c r="T182" s="129"/>
    </row>
    <row r="183" spans="3:20" s="7" customFormat="1" ht="42" customHeight="1">
      <c r="C183" s="32"/>
      <c r="D183" s="32"/>
      <c r="E183" s="32"/>
      <c r="F183" s="115"/>
      <c r="G183" s="45" t="s">
        <v>720</v>
      </c>
      <c r="H183" s="166">
        <v>502.3</v>
      </c>
      <c r="I183" s="166">
        <v>263.5</v>
      </c>
      <c r="J183" s="176"/>
      <c r="K183" s="166">
        <v>23.5</v>
      </c>
      <c r="L183" s="166"/>
      <c r="M183" s="166">
        <v>23.5</v>
      </c>
      <c r="N183" s="166">
        <v>23.5</v>
      </c>
      <c r="O183" s="167">
        <f t="shared" si="33"/>
        <v>100</v>
      </c>
      <c r="P183" s="166">
        <f>H183+K183</f>
        <v>525.8</v>
      </c>
      <c r="Q183" s="166">
        <f>I183+M183</f>
        <v>287</v>
      </c>
      <c r="R183" s="167">
        <f aca="true" t="shared" si="34" ref="R183:R188">Q183-P183</f>
        <v>-238.79999999999995</v>
      </c>
      <c r="S183" s="167">
        <f aca="true" t="shared" si="35" ref="S183:S188">Q183/P183*100</f>
        <v>54.583491821985554</v>
      </c>
      <c r="T183" s="129"/>
    </row>
    <row r="184" spans="3:20" s="7" customFormat="1" ht="42" customHeight="1">
      <c r="C184" s="32"/>
      <c r="D184" s="32"/>
      <c r="E184" s="32"/>
      <c r="F184" s="115"/>
      <c r="G184" s="45" t="s">
        <v>632</v>
      </c>
      <c r="H184" s="166">
        <v>115.2</v>
      </c>
      <c r="I184" s="166">
        <v>44.8</v>
      </c>
      <c r="J184" s="176"/>
      <c r="K184" s="166">
        <v>94</v>
      </c>
      <c r="L184" s="166"/>
      <c r="M184" s="166">
        <v>22</v>
      </c>
      <c r="N184" s="166">
        <v>22</v>
      </c>
      <c r="O184" s="167">
        <f t="shared" si="33"/>
        <v>23.404255319148938</v>
      </c>
      <c r="P184" s="166">
        <f>H184+K184</f>
        <v>209.2</v>
      </c>
      <c r="Q184" s="166">
        <f>I184+M184</f>
        <v>66.8</v>
      </c>
      <c r="R184" s="167">
        <f t="shared" si="34"/>
        <v>-142.39999999999998</v>
      </c>
      <c r="S184" s="167">
        <f t="shared" si="35"/>
        <v>31.931166347992352</v>
      </c>
      <c r="T184" s="129"/>
    </row>
    <row r="185" spans="1:20" s="7" customFormat="1" ht="33.75" customHeight="1">
      <c r="A185" s="7">
        <v>3</v>
      </c>
      <c r="B185" s="7">
        <v>50</v>
      </c>
      <c r="C185" s="32" t="s">
        <v>122</v>
      </c>
      <c r="D185" s="32" t="s">
        <v>572</v>
      </c>
      <c r="E185" s="32" t="s">
        <v>447</v>
      </c>
      <c r="F185" s="115" t="s">
        <v>236</v>
      </c>
      <c r="G185" s="43" t="s">
        <v>121</v>
      </c>
      <c r="H185" s="166">
        <v>4616.4</v>
      </c>
      <c r="I185" s="166">
        <v>3247</v>
      </c>
      <c r="J185" s="176">
        <f t="shared" si="28"/>
        <v>70.33619270427172</v>
      </c>
      <c r="K185" s="166">
        <f>185.985+105</f>
        <v>290.985</v>
      </c>
      <c r="L185" s="166"/>
      <c r="M185" s="166">
        <f>28.3+101.7</f>
        <v>130</v>
      </c>
      <c r="N185" s="166">
        <v>28.3</v>
      </c>
      <c r="O185" s="167">
        <f t="shared" si="33"/>
        <v>44.67584239737443</v>
      </c>
      <c r="P185" s="166">
        <f>H185+K185</f>
        <v>4907.384999999999</v>
      </c>
      <c r="Q185" s="166">
        <f>I185+M185</f>
        <v>3377</v>
      </c>
      <c r="R185" s="167">
        <f t="shared" si="34"/>
        <v>-1530.3849999999993</v>
      </c>
      <c r="S185" s="167">
        <f t="shared" si="35"/>
        <v>68.8146538329477</v>
      </c>
      <c r="T185" s="129">
        <v>105</v>
      </c>
    </row>
    <row r="186" spans="1:20" s="7" customFormat="1" ht="32.25" customHeight="1">
      <c r="A186" s="7">
        <v>4</v>
      </c>
      <c r="B186" s="7">
        <v>51</v>
      </c>
      <c r="C186" s="5" t="s">
        <v>267</v>
      </c>
      <c r="D186" s="5" t="s">
        <v>573</v>
      </c>
      <c r="E186" s="5" t="s">
        <v>574</v>
      </c>
      <c r="F186" s="115" t="s">
        <v>237</v>
      </c>
      <c r="G186" s="43" t="s">
        <v>117</v>
      </c>
      <c r="H186" s="166">
        <f>SUM(H187:H189)</f>
        <v>1320.1</v>
      </c>
      <c r="I186" s="166">
        <f>SUM(I187:I189)</f>
        <v>1021.63301</v>
      </c>
      <c r="J186" s="176">
        <f t="shared" si="28"/>
        <v>77.39057722899781</v>
      </c>
      <c r="K186" s="166">
        <f>SUM(K187:K188)</f>
        <v>273.9</v>
      </c>
      <c r="L186" s="166">
        <f>SUM(L187:L188)</f>
        <v>0</v>
      </c>
      <c r="M186" s="166">
        <f>SUM(M187:M188)</f>
        <v>261.7</v>
      </c>
      <c r="N186" s="166">
        <f>SUM(N187:N188)</f>
        <v>251.9</v>
      </c>
      <c r="O186" s="167">
        <f t="shared" si="33"/>
        <v>95.54581964220519</v>
      </c>
      <c r="P186" s="166">
        <f t="shared" si="31"/>
        <v>1594</v>
      </c>
      <c r="Q186" s="166">
        <f t="shared" si="32"/>
        <v>1283.33301</v>
      </c>
      <c r="R186" s="167">
        <f t="shared" si="34"/>
        <v>-310.66698999999994</v>
      </c>
      <c r="S186" s="167">
        <f t="shared" si="35"/>
        <v>80.51022647427854</v>
      </c>
      <c r="T186" s="129">
        <f>SUM(T187:T188)</f>
        <v>188.22</v>
      </c>
    </row>
    <row r="187" spans="3:20" s="39" customFormat="1" ht="45" customHeight="1">
      <c r="C187" s="36" t="s">
        <v>268</v>
      </c>
      <c r="D187" s="36" t="s">
        <v>575</v>
      </c>
      <c r="E187" s="36" t="s">
        <v>574</v>
      </c>
      <c r="F187" s="119"/>
      <c r="G187" s="37" t="s">
        <v>4</v>
      </c>
      <c r="H187" s="170">
        <v>606.3</v>
      </c>
      <c r="I187" s="170">
        <v>455.9</v>
      </c>
      <c r="J187" s="176">
        <f t="shared" si="28"/>
        <v>75.1937984496124</v>
      </c>
      <c r="K187" s="170">
        <v>9.9</v>
      </c>
      <c r="L187" s="170"/>
      <c r="M187" s="166"/>
      <c r="N187" s="166"/>
      <c r="O187" s="167"/>
      <c r="P187" s="166">
        <f t="shared" si="31"/>
        <v>616.1999999999999</v>
      </c>
      <c r="Q187" s="166">
        <f t="shared" si="32"/>
        <v>455.9</v>
      </c>
      <c r="R187" s="167">
        <f t="shared" si="34"/>
        <v>-160.29999999999995</v>
      </c>
      <c r="S187" s="167">
        <f t="shared" si="35"/>
        <v>73.9857189224278</v>
      </c>
      <c r="T187" s="133"/>
    </row>
    <row r="188" spans="3:20" s="39" customFormat="1" ht="65.25" customHeight="1">
      <c r="C188" s="36" t="s">
        <v>269</v>
      </c>
      <c r="D188" s="36" t="s">
        <v>576</v>
      </c>
      <c r="E188" s="36" t="s">
        <v>574</v>
      </c>
      <c r="F188" s="119"/>
      <c r="G188" s="45" t="s">
        <v>109</v>
      </c>
      <c r="H188" s="170">
        <f>502.8+114.2</f>
        <v>617</v>
      </c>
      <c r="I188" s="170">
        <f>450+19</f>
        <v>469</v>
      </c>
      <c r="J188" s="176">
        <f t="shared" si="28"/>
        <v>76.01296596434359</v>
      </c>
      <c r="K188" s="170">
        <f>264</f>
        <v>264</v>
      </c>
      <c r="L188" s="170"/>
      <c r="M188" s="166">
        <f>9.8+251.9</f>
        <v>261.7</v>
      </c>
      <c r="N188" s="166">
        <v>251.9</v>
      </c>
      <c r="O188" s="167">
        <f t="shared" si="33"/>
        <v>99.12878787878788</v>
      </c>
      <c r="P188" s="166">
        <f t="shared" si="31"/>
        <v>881</v>
      </c>
      <c r="Q188" s="166">
        <f t="shared" si="32"/>
        <v>730.7</v>
      </c>
      <c r="R188" s="167">
        <f t="shared" si="34"/>
        <v>-150.29999999999995</v>
      </c>
      <c r="S188" s="167">
        <f t="shared" si="35"/>
        <v>82.93984108967084</v>
      </c>
      <c r="T188" s="133">
        <v>188.22</v>
      </c>
    </row>
    <row r="189" spans="3:20" s="39" customFormat="1" ht="65.25" customHeight="1">
      <c r="C189" s="36" t="s">
        <v>721</v>
      </c>
      <c r="D189" s="36" t="s">
        <v>722</v>
      </c>
      <c r="E189" s="36" t="s">
        <v>574</v>
      </c>
      <c r="F189" s="119"/>
      <c r="G189" s="45" t="s">
        <v>723</v>
      </c>
      <c r="H189" s="170">
        <v>96.8</v>
      </c>
      <c r="I189" s="170">
        <v>96.73301</v>
      </c>
      <c r="J189" s="176"/>
      <c r="K189" s="170"/>
      <c r="L189" s="170"/>
      <c r="M189" s="166"/>
      <c r="N189" s="166"/>
      <c r="O189" s="171"/>
      <c r="P189" s="166">
        <f>H189+K189</f>
        <v>96.8</v>
      </c>
      <c r="Q189" s="166">
        <f>I189+M189</f>
        <v>96.73301</v>
      </c>
      <c r="R189" s="167">
        <f>Q189-P189</f>
        <v>-0.0669900000000041</v>
      </c>
      <c r="S189" s="167">
        <f>Q189/P189*100</f>
        <v>99.93079545454545</v>
      </c>
      <c r="T189" s="133"/>
    </row>
    <row r="190" spans="3:20" s="7" customFormat="1" ht="36.75" customHeight="1">
      <c r="C190" s="32" t="s">
        <v>678</v>
      </c>
      <c r="D190" s="32" t="s">
        <v>578</v>
      </c>
      <c r="E190" s="32"/>
      <c r="F190" s="115" t="s">
        <v>192</v>
      </c>
      <c r="G190" s="33" t="s">
        <v>191</v>
      </c>
      <c r="H190" s="166">
        <f>SUM(H193:H198)+H203</f>
        <v>3138.6240000000003</v>
      </c>
      <c r="I190" s="166">
        <f>SUM(I193:I198)+I203</f>
        <v>1872.4</v>
      </c>
      <c r="J190" s="176">
        <f t="shared" si="28"/>
        <v>59.65671580922085</v>
      </c>
      <c r="K190" s="166"/>
      <c r="L190" s="166"/>
      <c r="M190" s="166"/>
      <c r="N190" s="166"/>
      <c r="O190" s="167"/>
      <c r="P190" s="166">
        <f aca="true" t="shared" si="36" ref="P190:P205">H190+K190</f>
        <v>3138.6240000000003</v>
      </c>
      <c r="Q190" s="166">
        <f aca="true" t="shared" si="37" ref="Q190:Q205">I190+M190</f>
        <v>1872.4</v>
      </c>
      <c r="R190" s="167">
        <f aca="true" t="shared" si="38" ref="R190:R205">Q190-P190</f>
        <v>-1266.2240000000002</v>
      </c>
      <c r="S190" s="167">
        <f aca="true" t="shared" si="39" ref="S190:S205">Q190/P190*100</f>
        <v>59.65671580922085</v>
      </c>
      <c r="T190" s="129">
        <f>SUM(T192:T198)</f>
        <v>0</v>
      </c>
    </row>
    <row r="191" spans="1:21" s="7" customFormat="1" ht="32.25" customHeight="1">
      <c r="A191" s="7">
        <v>1</v>
      </c>
      <c r="B191" s="7">
        <v>53</v>
      </c>
      <c r="C191" s="32" t="s">
        <v>167</v>
      </c>
      <c r="D191" s="32" t="s">
        <v>579</v>
      </c>
      <c r="E191" s="32"/>
      <c r="F191" s="115"/>
      <c r="G191" s="33" t="s">
        <v>168</v>
      </c>
      <c r="H191" s="166">
        <f>H192+H195</f>
        <v>342.224</v>
      </c>
      <c r="I191" s="166">
        <f>I192+I195</f>
        <v>165.39999999999998</v>
      </c>
      <c r="J191" s="176">
        <f t="shared" si="28"/>
        <v>48.33091776146617</v>
      </c>
      <c r="K191" s="166"/>
      <c r="L191" s="166"/>
      <c r="M191" s="166"/>
      <c r="N191" s="166"/>
      <c r="O191" s="167"/>
      <c r="P191" s="166">
        <f t="shared" si="36"/>
        <v>342.224</v>
      </c>
      <c r="Q191" s="166">
        <f t="shared" si="37"/>
        <v>165.39999999999998</v>
      </c>
      <c r="R191" s="167">
        <f t="shared" si="38"/>
        <v>-176.824</v>
      </c>
      <c r="S191" s="167">
        <f t="shared" si="39"/>
        <v>48.33091776146617</v>
      </c>
      <c r="T191" s="129">
        <f>SUM(T192:T195)</f>
        <v>0</v>
      </c>
      <c r="U191" s="22"/>
    </row>
    <row r="192" spans="3:21" s="39" customFormat="1" ht="59.25" customHeight="1">
      <c r="C192" s="35" t="s">
        <v>124</v>
      </c>
      <c r="D192" s="35" t="s">
        <v>580</v>
      </c>
      <c r="E192" s="35" t="s">
        <v>581</v>
      </c>
      <c r="F192" s="119" t="s">
        <v>273</v>
      </c>
      <c r="G192" s="45" t="s">
        <v>316</v>
      </c>
      <c r="H192" s="170">
        <f>SUM(H193:H194)</f>
        <v>183.224</v>
      </c>
      <c r="I192" s="170">
        <f>SUM(I193:I194)</f>
        <v>94.1</v>
      </c>
      <c r="J192" s="176">
        <f t="shared" si="28"/>
        <v>51.357900711697155</v>
      </c>
      <c r="K192" s="170"/>
      <c r="L192" s="170"/>
      <c r="M192" s="170"/>
      <c r="N192" s="170"/>
      <c r="O192" s="172"/>
      <c r="P192" s="166">
        <f t="shared" si="36"/>
        <v>183.224</v>
      </c>
      <c r="Q192" s="166">
        <f t="shared" si="37"/>
        <v>94.1</v>
      </c>
      <c r="R192" s="167">
        <f t="shared" si="38"/>
        <v>-89.124</v>
      </c>
      <c r="S192" s="167">
        <f t="shared" si="39"/>
        <v>51.357900711697155</v>
      </c>
      <c r="T192" s="133"/>
      <c r="U192" s="54"/>
    </row>
    <row r="193" spans="3:20" s="39" customFormat="1" ht="60" customHeight="1">
      <c r="C193" s="35"/>
      <c r="D193" s="35"/>
      <c r="E193" s="35"/>
      <c r="F193" s="119"/>
      <c r="G193" s="45" t="s">
        <v>134</v>
      </c>
      <c r="H193" s="170">
        <v>173.224</v>
      </c>
      <c r="I193" s="170">
        <v>84.1</v>
      </c>
      <c r="J193" s="176">
        <f t="shared" si="28"/>
        <v>48.54985452362259</v>
      </c>
      <c r="K193" s="170"/>
      <c r="L193" s="170"/>
      <c r="M193" s="170"/>
      <c r="N193" s="170"/>
      <c r="O193" s="172"/>
      <c r="P193" s="166">
        <f t="shared" si="36"/>
        <v>173.224</v>
      </c>
      <c r="Q193" s="166">
        <f t="shared" si="37"/>
        <v>84.1</v>
      </c>
      <c r="R193" s="167">
        <f t="shared" si="38"/>
        <v>-89.124</v>
      </c>
      <c r="S193" s="167">
        <f t="shared" si="39"/>
        <v>48.54985452362259</v>
      </c>
      <c r="T193" s="133"/>
    </row>
    <row r="194" spans="3:20" s="39" customFormat="1" ht="48" customHeight="1">
      <c r="C194" s="35"/>
      <c r="D194" s="35"/>
      <c r="E194" s="35"/>
      <c r="F194" s="119"/>
      <c r="G194" s="45" t="s">
        <v>741</v>
      </c>
      <c r="H194" s="170">
        <v>10</v>
      </c>
      <c r="I194" s="170">
        <v>10</v>
      </c>
      <c r="J194" s="176">
        <f t="shared" si="28"/>
        <v>100</v>
      </c>
      <c r="K194" s="170"/>
      <c r="L194" s="170"/>
      <c r="M194" s="170"/>
      <c r="N194" s="170"/>
      <c r="O194" s="172"/>
      <c r="P194" s="166">
        <f t="shared" si="36"/>
        <v>10</v>
      </c>
      <c r="Q194" s="166">
        <f t="shared" si="37"/>
        <v>10</v>
      </c>
      <c r="R194" s="167">
        <f t="shared" si="38"/>
        <v>0</v>
      </c>
      <c r="S194" s="167">
        <f t="shared" si="39"/>
        <v>100</v>
      </c>
      <c r="T194" s="133"/>
    </row>
    <row r="195" spans="3:20" s="39" customFormat="1" ht="87" customHeight="1">
      <c r="C195" s="35" t="s">
        <v>125</v>
      </c>
      <c r="D195" s="35" t="s">
        <v>582</v>
      </c>
      <c r="E195" s="35" t="s">
        <v>581</v>
      </c>
      <c r="F195" s="119" t="s">
        <v>190</v>
      </c>
      <c r="G195" s="45" t="s">
        <v>737</v>
      </c>
      <c r="H195" s="170">
        <f>H196+H197</f>
        <v>159</v>
      </c>
      <c r="I195" s="170">
        <f>I196+I197</f>
        <v>71.3</v>
      </c>
      <c r="J195" s="176">
        <f t="shared" si="28"/>
        <v>44.84276729559748</v>
      </c>
      <c r="K195" s="170"/>
      <c r="L195" s="170"/>
      <c r="M195" s="170"/>
      <c r="N195" s="170"/>
      <c r="O195" s="172"/>
      <c r="P195" s="166">
        <f t="shared" si="36"/>
        <v>159</v>
      </c>
      <c r="Q195" s="166">
        <f t="shared" si="37"/>
        <v>71.3</v>
      </c>
      <c r="R195" s="167">
        <f t="shared" si="38"/>
        <v>-87.7</v>
      </c>
      <c r="S195" s="167">
        <f t="shared" si="39"/>
        <v>44.84276729559748</v>
      </c>
      <c r="T195" s="133"/>
    </row>
    <row r="196" spans="3:20" s="39" customFormat="1" ht="56.25">
      <c r="C196" s="35"/>
      <c r="D196" s="35"/>
      <c r="E196" s="35"/>
      <c r="F196" s="119"/>
      <c r="G196" s="45" t="s">
        <v>134</v>
      </c>
      <c r="H196" s="170">
        <v>127</v>
      </c>
      <c r="I196" s="170">
        <v>71.3</v>
      </c>
      <c r="J196" s="176"/>
      <c r="K196" s="170"/>
      <c r="L196" s="170"/>
      <c r="M196" s="170"/>
      <c r="N196" s="170"/>
      <c r="O196" s="172"/>
      <c r="P196" s="166">
        <f t="shared" si="36"/>
        <v>127</v>
      </c>
      <c r="Q196" s="166"/>
      <c r="R196" s="167"/>
      <c r="S196" s="167"/>
      <c r="T196" s="133"/>
    </row>
    <row r="197" spans="3:20" s="39" customFormat="1" ht="37.5">
      <c r="C197" s="35"/>
      <c r="D197" s="35"/>
      <c r="E197" s="35"/>
      <c r="F197" s="119"/>
      <c r="G197" s="45" t="s">
        <v>741</v>
      </c>
      <c r="H197" s="170">
        <v>32</v>
      </c>
      <c r="I197" s="170">
        <v>0</v>
      </c>
      <c r="J197" s="176"/>
      <c r="K197" s="170"/>
      <c r="L197" s="170"/>
      <c r="M197" s="170"/>
      <c r="N197" s="170"/>
      <c r="O197" s="172"/>
      <c r="P197" s="166">
        <f t="shared" si="36"/>
        <v>32</v>
      </c>
      <c r="Q197" s="166"/>
      <c r="R197" s="167"/>
      <c r="S197" s="167"/>
      <c r="T197" s="133"/>
    </row>
    <row r="198" spans="1:21" s="7" customFormat="1" ht="32.25" customHeight="1">
      <c r="A198" s="7">
        <v>3</v>
      </c>
      <c r="B198" s="7">
        <v>55</v>
      </c>
      <c r="C198" s="32" t="s">
        <v>636</v>
      </c>
      <c r="D198" s="32" t="s">
        <v>637</v>
      </c>
      <c r="E198" s="32"/>
      <c r="F198" s="115"/>
      <c r="G198" s="33" t="s">
        <v>638</v>
      </c>
      <c r="H198" s="166">
        <f>H199</f>
        <v>2437.6</v>
      </c>
      <c r="I198" s="166">
        <f>I199</f>
        <v>1516.8</v>
      </c>
      <c r="J198" s="176">
        <f t="shared" si="28"/>
        <v>62.22513948145717</v>
      </c>
      <c r="K198" s="166"/>
      <c r="L198" s="166"/>
      <c r="M198" s="166"/>
      <c r="N198" s="166"/>
      <c r="O198" s="167"/>
      <c r="P198" s="166">
        <f t="shared" si="36"/>
        <v>2437.6</v>
      </c>
      <c r="Q198" s="166">
        <f t="shared" si="37"/>
        <v>1516.8</v>
      </c>
      <c r="R198" s="167">
        <f t="shared" si="38"/>
        <v>-920.8</v>
      </c>
      <c r="S198" s="167">
        <f t="shared" si="39"/>
        <v>62.22513948145717</v>
      </c>
      <c r="T198" s="14">
        <f>T199</f>
        <v>0</v>
      </c>
      <c r="U198" s="22"/>
    </row>
    <row r="199" spans="3:20" s="39" customFormat="1" ht="45.75" customHeight="1">
      <c r="C199" s="35" t="s">
        <v>639</v>
      </c>
      <c r="D199" s="35" t="s">
        <v>640</v>
      </c>
      <c r="E199" s="35" t="s">
        <v>581</v>
      </c>
      <c r="F199" s="119" t="s">
        <v>198</v>
      </c>
      <c r="G199" s="37" t="s">
        <v>584</v>
      </c>
      <c r="H199" s="170">
        <f>H201+H202</f>
        <v>2437.6</v>
      </c>
      <c r="I199" s="170">
        <f>I201+I202</f>
        <v>1516.8</v>
      </c>
      <c r="J199" s="176">
        <f t="shared" si="28"/>
        <v>62.22513948145717</v>
      </c>
      <c r="K199" s="170"/>
      <c r="L199" s="170"/>
      <c r="M199" s="166"/>
      <c r="N199" s="166"/>
      <c r="O199" s="171"/>
      <c r="P199" s="166">
        <f t="shared" si="36"/>
        <v>2437.6</v>
      </c>
      <c r="Q199" s="166">
        <f t="shared" si="37"/>
        <v>1516.8</v>
      </c>
      <c r="R199" s="167">
        <f t="shared" si="38"/>
        <v>-920.8</v>
      </c>
      <c r="S199" s="167">
        <f t="shared" si="39"/>
        <v>62.22513948145717</v>
      </c>
      <c r="T199" s="133"/>
    </row>
    <row r="200" spans="2:20" s="39" customFormat="1" ht="38.25" customHeight="1" hidden="1">
      <c r="B200" s="88">
        <v>56</v>
      </c>
      <c r="C200" s="32" t="s">
        <v>305</v>
      </c>
      <c r="D200" s="32"/>
      <c r="E200" s="32"/>
      <c r="F200" s="115" t="s">
        <v>3</v>
      </c>
      <c r="G200" s="42" t="s">
        <v>118</v>
      </c>
      <c r="H200" s="170"/>
      <c r="I200" s="170"/>
      <c r="J200" s="176" t="e">
        <f t="shared" si="28"/>
        <v>#DIV/0!</v>
      </c>
      <c r="K200" s="170"/>
      <c r="L200" s="170"/>
      <c r="M200" s="166"/>
      <c r="N200" s="166"/>
      <c r="O200" s="171">
        <f>SUM(O201:O202)</f>
        <v>0</v>
      </c>
      <c r="P200" s="166">
        <f t="shared" si="36"/>
        <v>0</v>
      </c>
      <c r="Q200" s="166">
        <f t="shared" si="37"/>
        <v>0</v>
      </c>
      <c r="R200" s="167">
        <f t="shared" si="38"/>
        <v>0</v>
      </c>
      <c r="S200" s="167" t="e">
        <f t="shared" si="39"/>
        <v>#DIV/0!</v>
      </c>
      <c r="T200" s="133">
        <f>SUM(T201:T202)</f>
        <v>0</v>
      </c>
    </row>
    <row r="201" spans="3:20" s="39" customFormat="1" ht="54.75" customHeight="1">
      <c r="C201" s="35" t="s">
        <v>306</v>
      </c>
      <c r="D201" s="35"/>
      <c r="E201" s="35"/>
      <c r="F201" s="119"/>
      <c r="G201" s="52" t="s">
        <v>742</v>
      </c>
      <c r="H201" s="170">
        <v>2433.5</v>
      </c>
      <c r="I201" s="170">
        <v>1512.7</v>
      </c>
      <c r="J201" s="176">
        <f t="shared" si="28"/>
        <v>62.16149578795973</v>
      </c>
      <c r="K201" s="170"/>
      <c r="L201" s="170"/>
      <c r="M201" s="166"/>
      <c r="N201" s="166"/>
      <c r="O201" s="171"/>
      <c r="P201" s="166">
        <f t="shared" si="36"/>
        <v>2433.5</v>
      </c>
      <c r="Q201" s="166">
        <f t="shared" si="37"/>
        <v>1512.7</v>
      </c>
      <c r="R201" s="167">
        <f t="shared" si="38"/>
        <v>-920.8</v>
      </c>
      <c r="S201" s="167">
        <f t="shared" si="39"/>
        <v>62.16149578795973</v>
      </c>
      <c r="T201" s="133"/>
    </row>
    <row r="202" spans="3:20" s="39" customFormat="1" ht="44.25" customHeight="1">
      <c r="C202" s="35" t="s">
        <v>187</v>
      </c>
      <c r="D202" s="35"/>
      <c r="E202" s="35"/>
      <c r="F202" s="119"/>
      <c r="G202" s="45" t="s">
        <v>741</v>
      </c>
      <c r="H202" s="170">
        <v>4.1</v>
      </c>
      <c r="I202" s="170">
        <v>4.1</v>
      </c>
      <c r="J202" s="176">
        <f t="shared" si="28"/>
        <v>100</v>
      </c>
      <c r="K202" s="170"/>
      <c r="L202" s="170"/>
      <c r="M202" s="166"/>
      <c r="N202" s="166"/>
      <c r="O202" s="171"/>
      <c r="P202" s="166">
        <f t="shared" si="36"/>
        <v>4.1</v>
      </c>
      <c r="Q202" s="166">
        <f t="shared" si="37"/>
        <v>4.1</v>
      </c>
      <c r="R202" s="167">
        <f t="shared" si="38"/>
        <v>0</v>
      </c>
      <c r="S202" s="167">
        <f t="shared" si="39"/>
        <v>100</v>
      </c>
      <c r="T202" s="133"/>
    </row>
    <row r="203" spans="1:20" s="7" customFormat="1" ht="45" customHeight="1">
      <c r="A203" s="7">
        <v>2</v>
      </c>
      <c r="B203" s="7">
        <v>54</v>
      </c>
      <c r="C203" s="32" t="s">
        <v>126</v>
      </c>
      <c r="D203" s="32" t="s">
        <v>583</v>
      </c>
      <c r="E203" s="32" t="s">
        <v>581</v>
      </c>
      <c r="F203" s="115" t="s">
        <v>258</v>
      </c>
      <c r="G203" s="33" t="s">
        <v>623</v>
      </c>
      <c r="H203" s="166">
        <f>H204</f>
        <v>199.8</v>
      </c>
      <c r="I203" s="166">
        <f>I204</f>
        <v>118.9</v>
      </c>
      <c r="J203" s="176">
        <f t="shared" si="28"/>
        <v>59.509509509509506</v>
      </c>
      <c r="K203" s="166"/>
      <c r="L203" s="166"/>
      <c r="M203" s="166"/>
      <c r="N203" s="166"/>
      <c r="O203" s="169"/>
      <c r="P203" s="166">
        <f t="shared" si="36"/>
        <v>199.8</v>
      </c>
      <c r="Q203" s="166">
        <f t="shared" si="37"/>
        <v>118.9</v>
      </c>
      <c r="R203" s="167">
        <f t="shared" si="38"/>
        <v>-80.9</v>
      </c>
      <c r="S203" s="167">
        <f t="shared" si="39"/>
        <v>59.509509509509506</v>
      </c>
      <c r="T203" s="129"/>
    </row>
    <row r="204" spans="3:20" s="7" customFormat="1" ht="119.25" customHeight="1">
      <c r="C204" s="32" t="s">
        <v>621</v>
      </c>
      <c r="D204" s="32" t="s">
        <v>622</v>
      </c>
      <c r="E204" s="32" t="s">
        <v>581</v>
      </c>
      <c r="F204" s="115"/>
      <c r="G204" s="33" t="s">
        <v>736</v>
      </c>
      <c r="H204" s="166">
        <v>199.8</v>
      </c>
      <c r="I204" s="166">
        <v>118.9</v>
      </c>
      <c r="J204" s="176">
        <f t="shared" si="28"/>
        <v>59.509509509509506</v>
      </c>
      <c r="K204" s="166"/>
      <c r="L204" s="166"/>
      <c r="M204" s="166"/>
      <c r="N204" s="166"/>
      <c r="O204" s="169"/>
      <c r="P204" s="166">
        <f t="shared" si="36"/>
        <v>199.8</v>
      </c>
      <c r="Q204" s="166">
        <f t="shared" si="37"/>
        <v>118.9</v>
      </c>
      <c r="R204" s="167">
        <f t="shared" si="38"/>
        <v>-80.9</v>
      </c>
      <c r="S204" s="167">
        <f t="shared" si="39"/>
        <v>59.509509509509506</v>
      </c>
      <c r="T204" s="129"/>
    </row>
    <row r="205" spans="3:22" s="50" customFormat="1" ht="45" customHeight="1">
      <c r="C205" s="30"/>
      <c r="D205" s="30"/>
      <c r="E205" s="30"/>
      <c r="F205" s="121"/>
      <c r="G205" s="48" t="s">
        <v>137</v>
      </c>
      <c r="H205" s="174">
        <f>H198+H203+H191+H178+H175+H176+H200</f>
        <v>11791.424</v>
      </c>
      <c r="I205" s="174">
        <f>I198+I203+I191+I178+I175+I176+I200</f>
        <v>8127.433010000001</v>
      </c>
      <c r="J205" s="176">
        <f t="shared" si="28"/>
        <v>68.926645416194</v>
      </c>
      <c r="K205" s="174">
        <f>K198+K203+K191+K178+K175+K176+K200</f>
        <v>767.99965</v>
      </c>
      <c r="L205" s="174">
        <f>L198+L203+L191+L178+L175+L176+L200</f>
        <v>0</v>
      </c>
      <c r="M205" s="174">
        <f>M198+M203+M191+M178+M175+M176+M200</f>
        <v>517.46629</v>
      </c>
      <c r="N205" s="174">
        <f>N198+N203+N191+N178+N175+N176+N200</f>
        <v>376.65164</v>
      </c>
      <c r="O205" s="175">
        <f>O198+O203+O191+O178+O175+O176+O200</f>
        <v>67.10864183802632</v>
      </c>
      <c r="P205" s="174">
        <f t="shared" si="36"/>
        <v>12559.42365</v>
      </c>
      <c r="Q205" s="174">
        <f t="shared" si="37"/>
        <v>8644.899300000001</v>
      </c>
      <c r="R205" s="175">
        <f t="shared" si="38"/>
        <v>-3914.5243499999997</v>
      </c>
      <c r="S205" s="175">
        <f t="shared" si="39"/>
        <v>68.83197462647898</v>
      </c>
      <c r="T205" s="136">
        <f>T198+T203+T191+T178+T175+T176+T200</f>
        <v>343.22</v>
      </c>
      <c r="U205" s="53"/>
      <c r="V205" s="53"/>
    </row>
    <row r="206" spans="3:21" s="7" customFormat="1" ht="58.5" customHeight="1">
      <c r="C206" s="30" t="s">
        <v>157</v>
      </c>
      <c r="D206" s="32"/>
      <c r="E206" s="32"/>
      <c r="F206" s="115"/>
      <c r="G206" s="85" t="s">
        <v>732</v>
      </c>
      <c r="H206" s="166"/>
      <c r="I206" s="166"/>
      <c r="J206" s="176"/>
      <c r="K206" s="166"/>
      <c r="L206" s="166"/>
      <c r="M206" s="170"/>
      <c r="N206" s="170"/>
      <c r="O206" s="167"/>
      <c r="P206" s="166"/>
      <c r="Q206" s="166"/>
      <c r="R206" s="167"/>
      <c r="S206" s="167"/>
      <c r="T206" s="129"/>
      <c r="U206" s="22"/>
    </row>
    <row r="207" spans="3:21" s="7" customFormat="1" ht="75" customHeight="1">
      <c r="C207" s="151" t="s">
        <v>158</v>
      </c>
      <c r="D207" s="32"/>
      <c r="E207" s="32"/>
      <c r="F207" s="115"/>
      <c r="G207" s="31" t="s">
        <v>733</v>
      </c>
      <c r="H207" s="166"/>
      <c r="I207" s="166"/>
      <c r="J207" s="176"/>
      <c r="K207" s="166"/>
      <c r="L207" s="166"/>
      <c r="M207" s="170"/>
      <c r="N207" s="170"/>
      <c r="O207" s="167"/>
      <c r="P207" s="166"/>
      <c r="Q207" s="166"/>
      <c r="R207" s="167"/>
      <c r="S207" s="167"/>
      <c r="T207" s="129"/>
      <c r="U207" s="22"/>
    </row>
    <row r="208" spans="1:20" s="7" customFormat="1" ht="117.75" customHeight="1">
      <c r="A208" s="7">
        <v>5</v>
      </c>
      <c r="B208" s="7">
        <v>36</v>
      </c>
      <c r="C208" s="32" t="s">
        <v>300</v>
      </c>
      <c r="D208" s="32" t="s">
        <v>420</v>
      </c>
      <c r="E208" s="32" t="s">
        <v>421</v>
      </c>
      <c r="F208" s="115" t="s">
        <v>196</v>
      </c>
      <c r="G208" s="33" t="s">
        <v>604</v>
      </c>
      <c r="H208" s="168">
        <f>2994.3+85.1</f>
        <v>3079.4</v>
      </c>
      <c r="I208" s="168">
        <v>2367</v>
      </c>
      <c r="J208" s="176">
        <f t="shared" si="28"/>
        <v>76.86562317334545</v>
      </c>
      <c r="K208" s="168">
        <v>8.1</v>
      </c>
      <c r="L208" s="168"/>
      <c r="M208" s="166"/>
      <c r="N208" s="166"/>
      <c r="O208" s="176"/>
      <c r="P208" s="168">
        <f>H208+K208</f>
        <v>3087.5</v>
      </c>
      <c r="Q208" s="168">
        <f>I208+M208</f>
        <v>2367</v>
      </c>
      <c r="R208" s="176">
        <f>Q208-P208</f>
        <v>-720.5</v>
      </c>
      <c r="S208" s="176">
        <f>Q208/P208*100</f>
        <v>76.66396761133603</v>
      </c>
      <c r="T208" s="130"/>
    </row>
    <row r="209" spans="3:20" s="7" customFormat="1" ht="43.5" customHeight="1">
      <c r="C209" s="32" t="s">
        <v>385</v>
      </c>
      <c r="D209" s="32" t="s">
        <v>441</v>
      </c>
      <c r="E209" s="32" t="s">
        <v>442</v>
      </c>
      <c r="F209" s="115" t="s">
        <v>228</v>
      </c>
      <c r="G209" s="33" t="s">
        <v>409</v>
      </c>
      <c r="H209" s="168">
        <f>H210</f>
        <v>0</v>
      </c>
      <c r="I209" s="168">
        <f>I210</f>
        <v>0</v>
      </c>
      <c r="J209" s="176"/>
      <c r="K209" s="168">
        <f>K210</f>
        <v>1936.4</v>
      </c>
      <c r="L209" s="168">
        <f>L210</f>
        <v>0</v>
      </c>
      <c r="M209" s="166">
        <f>M210</f>
        <v>174.2</v>
      </c>
      <c r="N209" s="166">
        <f>N210</f>
        <v>174.2</v>
      </c>
      <c r="O209" s="176">
        <f>M209/K209*100</f>
        <v>8.996075191076223</v>
      </c>
      <c r="P209" s="168">
        <f>H209+K209</f>
        <v>1936.4</v>
      </c>
      <c r="Q209" s="168">
        <f>I209+M209</f>
        <v>174.2</v>
      </c>
      <c r="R209" s="176">
        <f>Q209-P209</f>
        <v>-1762.2</v>
      </c>
      <c r="S209" s="176">
        <f>Q209/P209*100</f>
        <v>8.996075191076223</v>
      </c>
      <c r="T209" s="130">
        <f>T210</f>
        <v>1936.3999999999999</v>
      </c>
    </row>
    <row r="210" spans="3:20" s="7" customFormat="1" ht="73.5" customHeight="1">
      <c r="C210" s="32"/>
      <c r="D210" s="32"/>
      <c r="E210" s="32"/>
      <c r="F210" s="115"/>
      <c r="G210" s="45" t="s">
        <v>386</v>
      </c>
      <c r="H210" s="168"/>
      <c r="I210" s="179"/>
      <c r="J210" s="176"/>
      <c r="K210" s="166">
        <v>1936.4</v>
      </c>
      <c r="L210" s="166"/>
      <c r="M210" s="166">
        <v>174.2</v>
      </c>
      <c r="N210" s="166">
        <v>174.2</v>
      </c>
      <c r="O210" s="176">
        <f>M210/K210*100</f>
        <v>8.996075191076223</v>
      </c>
      <c r="P210" s="168">
        <f>H210+K210</f>
        <v>1936.4</v>
      </c>
      <c r="Q210" s="168">
        <f>I210+M210</f>
        <v>174.2</v>
      </c>
      <c r="R210" s="176">
        <f>Q210-P210</f>
        <v>-1762.2</v>
      </c>
      <c r="S210" s="176">
        <f>Q210/P210*100</f>
        <v>8.996075191076223</v>
      </c>
      <c r="T210" s="34">
        <f>1908.1+28.3</f>
        <v>1936.3999999999999</v>
      </c>
    </row>
    <row r="211" spans="3:20" s="7" customFormat="1" ht="88.5" customHeight="1">
      <c r="C211" s="32" t="s">
        <v>372</v>
      </c>
      <c r="D211" s="32" t="s">
        <v>444</v>
      </c>
      <c r="E211" s="32" t="s">
        <v>445</v>
      </c>
      <c r="F211" s="115" t="s">
        <v>229</v>
      </c>
      <c r="G211" s="33" t="s">
        <v>373</v>
      </c>
      <c r="H211" s="168">
        <f>SUM(H212:H212)</f>
        <v>0</v>
      </c>
      <c r="I211" s="168">
        <f>SUM(I212:I212)</f>
        <v>0</v>
      </c>
      <c r="J211" s="176"/>
      <c r="K211" s="168">
        <f>K212</f>
        <v>7674.3</v>
      </c>
      <c r="L211" s="168">
        <f>SUM(L212:L212)</f>
        <v>0</v>
      </c>
      <c r="M211" s="170">
        <f>M212</f>
        <v>363.2</v>
      </c>
      <c r="N211" s="170">
        <f>N212</f>
        <v>363.2</v>
      </c>
      <c r="O211" s="176">
        <f>M211/K211*100</f>
        <v>4.7326792020119095</v>
      </c>
      <c r="P211" s="168">
        <f>H211+K211</f>
        <v>7674.3</v>
      </c>
      <c r="Q211" s="168">
        <f>I211+M211</f>
        <v>363.2</v>
      </c>
      <c r="R211" s="176">
        <f>Q211-P211</f>
        <v>-7311.1</v>
      </c>
      <c r="S211" s="176">
        <f>Q211/P211*100</f>
        <v>4.7326792020119095</v>
      </c>
      <c r="T211" s="130">
        <f>SUM(T212:T212)</f>
        <v>6728.3</v>
      </c>
    </row>
    <row r="212" spans="3:20" s="39" customFormat="1" ht="80.25" customHeight="1">
      <c r="C212" s="35"/>
      <c r="D212" s="35"/>
      <c r="E212" s="35"/>
      <c r="F212" s="119"/>
      <c r="G212" s="45" t="s">
        <v>386</v>
      </c>
      <c r="H212" s="177">
        <f>I212+L212</f>
        <v>0</v>
      </c>
      <c r="I212" s="177"/>
      <c r="J212" s="176"/>
      <c r="K212" s="177">
        <v>7674.3</v>
      </c>
      <c r="L212" s="177"/>
      <c r="M212" s="170">
        <v>363.2</v>
      </c>
      <c r="N212" s="170">
        <v>363.2</v>
      </c>
      <c r="O212" s="176">
        <f>M212/K212*100</f>
        <v>4.7326792020119095</v>
      </c>
      <c r="P212" s="168">
        <f>H212+K212</f>
        <v>7674.3</v>
      </c>
      <c r="Q212" s="168">
        <f>I212+M212</f>
        <v>363.2</v>
      </c>
      <c r="R212" s="176">
        <f>Q212-P212</f>
        <v>-7311.1</v>
      </c>
      <c r="S212" s="189">
        <f>Q212/P212*100</f>
        <v>4.7326792020119095</v>
      </c>
      <c r="T212" s="56">
        <f>6700+56.6-28.3</f>
        <v>6728.3</v>
      </c>
    </row>
    <row r="213" spans="3:20" s="7" customFormat="1" ht="87.75" customHeight="1" hidden="1">
      <c r="C213" s="32" t="s">
        <v>371</v>
      </c>
      <c r="D213" s="32" t="s">
        <v>459</v>
      </c>
      <c r="E213" s="32" t="s">
        <v>548</v>
      </c>
      <c r="F213" s="115" t="s">
        <v>332</v>
      </c>
      <c r="G213" s="33" t="s">
        <v>333</v>
      </c>
      <c r="H213" s="168">
        <f>I213+L213</f>
        <v>0</v>
      </c>
      <c r="I213" s="168"/>
      <c r="J213" s="176"/>
      <c r="K213" s="168"/>
      <c r="L213" s="168"/>
      <c r="M213" s="166"/>
      <c r="N213" s="166"/>
      <c r="O213" s="176"/>
      <c r="P213" s="168"/>
      <c r="Q213" s="168"/>
      <c r="R213" s="176"/>
      <c r="S213" s="176"/>
      <c r="T213" s="130"/>
    </row>
    <row r="214" spans="1:21" s="71" customFormat="1" ht="64.5" customHeight="1">
      <c r="A214" s="7">
        <v>1</v>
      </c>
      <c r="B214" s="7">
        <v>37</v>
      </c>
      <c r="C214" s="32" t="s">
        <v>101</v>
      </c>
      <c r="D214" s="32" t="s">
        <v>551</v>
      </c>
      <c r="E214" s="32" t="s">
        <v>552</v>
      </c>
      <c r="F214" s="115" t="s">
        <v>44</v>
      </c>
      <c r="G214" s="41" t="s">
        <v>352</v>
      </c>
      <c r="H214" s="166">
        <f>SUM(H215:H217)</f>
        <v>4958.4</v>
      </c>
      <c r="I214" s="166">
        <f>SUM(I215:I217)</f>
        <v>4511.5</v>
      </c>
      <c r="J214" s="176">
        <f t="shared" si="28"/>
        <v>90.98701193933528</v>
      </c>
      <c r="K214" s="166">
        <f>SUM(K215:K217)</f>
        <v>0</v>
      </c>
      <c r="L214" s="166">
        <f>SUM(L215:L217)</f>
        <v>0</v>
      </c>
      <c r="M214" s="166">
        <f>SUM(M215:M217)</f>
        <v>0</v>
      </c>
      <c r="N214" s="166">
        <f>SUM(N215:N217)</f>
        <v>0</v>
      </c>
      <c r="O214" s="167">
        <f>SUM(O215:O217)</f>
        <v>0</v>
      </c>
      <c r="P214" s="166">
        <f>H214+K214</f>
        <v>4958.4</v>
      </c>
      <c r="Q214" s="166">
        <f>I214+M214</f>
        <v>4511.5</v>
      </c>
      <c r="R214" s="167">
        <f aca="true" t="shared" si="40" ref="R214:R232">Q214-P214</f>
        <v>-446.89999999999964</v>
      </c>
      <c r="S214" s="167">
        <f aca="true" t="shared" si="41" ref="S214:S232">Q214/P214*100</f>
        <v>90.98701193933528</v>
      </c>
      <c r="T214" s="129">
        <f>SUM(T215:T217)</f>
        <v>0</v>
      </c>
      <c r="U214" s="70"/>
    </row>
    <row r="215" spans="1:21" s="107" customFormat="1" ht="66.75" customHeight="1">
      <c r="A215" s="39"/>
      <c r="B215" s="39"/>
      <c r="C215" s="35"/>
      <c r="D215" s="35"/>
      <c r="E215" s="35"/>
      <c r="F215" s="119"/>
      <c r="G215" s="55" t="s">
        <v>353</v>
      </c>
      <c r="H215" s="170">
        <f>575.5+3051</f>
        <v>3626.5</v>
      </c>
      <c r="I215" s="170">
        <f>534.6+2697.8</f>
        <v>3232.4</v>
      </c>
      <c r="J215" s="176">
        <f t="shared" si="28"/>
        <v>89.13277264580174</v>
      </c>
      <c r="K215" s="170"/>
      <c r="L215" s="170"/>
      <c r="M215" s="181"/>
      <c r="N215" s="181"/>
      <c r="O215" s="171"/>
      <c r="P215" s="166">
        <f>H215+K215</f>
        <v>3626.5</v>
      </c>
      <c r="Q215" s="166">
        <f>I215+M215</f>
        <v>3232.4</v>
      </c>
      <c r="R215" s="167">
        <f t="shared" si="40"/>
        <v>-394.0999999999999</v>
      </c>
      <c r="S215" s="167">
        <f t="shared" si="41"/>
        <v>89.13277264580174</v>
      </c>
      <c r="T215" s="133"/>
      <c r="U215" s="106"/>
    </row>
    <row r="216" spans="1:21" s="107" customFormat="1" ht="48" customHeight="1">
      <c r="A216" s="39"/>
      <c r="B216" s="39"/>
      <c r="C216" s="35"/>
      <c r="D216" s="35"/>
      <c r="E216" s="35"/>
      <c r="F216" s="119"/>
      <c r="G216" s="55" t="s">
        <v>381</v>
      </c>
      <c r="H216" s="170">
        <v>1331.9</v>
      </c>
      <c r="I216" s="170">
        <v>1279.1</v>
      </c>
      <c r="J216" s="176">
        <f t="shared" si="28"/>
        <v>96.0357384188002</v>
      </c>
      <c r="K216" s="170"/>
      <c r="L216" s="170"/>
      <c r="M216" s="181"/>
      <c r="N216" s="181"/>
      <c r="O216" s="171"/>
      <c r="P216" s="166">
        <f>H216+K216</f>
        <v>1331.9</v>
      </c>
      <c r="Q216" s="166">
        <f>I216+M216</f>
        <v>1279.1</v>
      </c>
      <c r="R216" s="167">
        <f t="shared" si="40"/>
        <v>-52.80000000000018</v>
      </c>
      <c r="S216" s="167">
        <f t="shared" si="41"/>
        <v>96.0357384188002</v>
      </c>
      <c r="T216" s="133"/>
      <c r="U216" s="106"/>
    </row>
    <row r="217" spans="1:21" s="107" customFormat="1" ht="64.5" customHeight="1" hidden="1">
      <c r="A217" s="39"/>
      <c r="B217" s="39"/>
      <c r="C217" s="35"/>
      <c r="D217" s="35"/>
      <c r="E217" s="35"/>
      <c r="F217" s="119"/>
      <c r="G217" s="55" t="s">
        <v>354</v>
      </c>
      <c r="H217" s="170">
        <f>I217+L217</f>
        <v>0</v>
      </c>
      <c r="I217" s="170"/>
      <c r="J217" s="176" t="e">
        <f t="shared" si="28"/>
        <v>#DIV/0!</v>
      </c>
      <c r="K217" s="170"/>
      <c r="L217" s="170"/>
      <c r="M217" s="181"/>
      <c r="N217" s="181"/>
      <c r="O217" s="171"/>
      <c r="P217" s="170"/>
      <c r="Q217" s="170"/>
      <c r="R217" s="167">
        <f t="shared" si="40"/>
        <v>0</v>
      </c>
      <c r="S217" s="167" t="e">
        <f t="shared" si="41"/>
        <v>#DIV/0!</v>
      </c>
      <c r="T217" s="133"/>
      <c r="U217" s="106"/>
    </row>
    <row r="218" spans="1:22" s="71" customFormat="1" ht="39.75" customHeight="1">
      <c r="A218" s="7">
        <v>2</v>
      </c>
      <c r="B218" s="7">
        <v>38</v>
      </c>
      <c r="C218" s="32" t="s">
        <v>161</v>
      </c>
      <c r="D218" s="32" t="s">
        <v>553</v>
      </c>
      <c r="E218" s="32"/>
      <c r="F218" s="115"/>
      <c r="G218" s="33" t="s">
        <v>114</v>
      </c>
      <c r="H218" s="166">
        <f aca="true" t="shared" si="42" ref="H218:T218">H219+H225</f>
        <v>0</v>
      </c>
      <c r="I218" s="166">
        <f t="shared" si="42"/>
        <v>0</v>
      </c>
      <c r="J218" s="176"/>
      <c r="K218" s="166">
        <f t="shared" si="42"/>
        <v>7730.25</v>
      </c>
      <c r="L218" s="166">
        <f t="shared" si="42"/>
        <v>0</v>
      </c>
      <c r="M218" s="166">
        <f t="shared" si="42"/>
        <v>3837.0999999999995</v>
      </c>
      <c r="N218" s="166">
        <f t="shared" si="42"/>
        <v>3837.0999999999995</v>
      </c>
      <c r="O218" s="167">
        <f>M218/K218*100</f>
        <v>49.63746321270333</v>
      </c>
      <c r="P218" s="166">
        <f>H218+K218</f>
        <v>7730.25</v>
      </c>
      <c r="Q218" s="166">
        <f aca="true" t="shared" si="43" ref="Q218:Q225">I218+M218</f>
        <v>3837.0999999999995</v>
      </c>
      <c r="R218" s="167">
        <f t="shared" si="40"/>
        <v>-3893.1500000000005</v>
      </c>
      <c r="S218" s="167">
        <f t="shared" si="41"/>
        <v>49.63746321270333</v>
      </c>
      <c r="T218" s="14">
        <f t="shared" si="42"/>
        <v>7961.7</v>
      </c>
      <c r="U218" s="14"/>
      <c r="V218" s="14"/>
    </row>
    <row r="219" spans="3:22" s="71" customFormat="1" ht="39.75" customHeight="1">
      <c r="C219" s="35" t="s">
        <v>102</v>
      </c>
      <c r="D219" s="35" t="s">
        <v>554</v>
      </c>
      <c r="E219" s="35" t="s">
        <v>552</v>
      </c>
      <c r="F219" s="119" t="s">
        <v>211</v>
      </c>
      <c r="G219" s="45" t="s">
        <v>115</v>
      </c>
      <c r="H219" s="170">
        <f>SUM(H220:H223)</f>
        <v>0</v>
      </c>
      <c r="I219" s="170">
        <f>SUM(I220:I223)</f>
        <v>0</v>
      </c>
      <c r="J219" s="176"/>
      <c r="K219" s="170">
        <f>SUM(K220:K223)</f>
        <v>5049.15</v>
      </c>
      <c r="L219" s="170">
        <f>SUM(L220:L223)</f>
        <v>0</v>
      </c>
      <c r="M219" s="170">
        <f>SUM(M220:M223)</f>
        <v>3101.7999999999997</v>
      </c>
      <c r="N219" s="170">
        <f>SUM(N220:N223)</f>
        <v>3101.7999999999997</v>
      </c>
      <c r="O219" s="171">
        <f>SUM(O220:O224)</f>
        <v>0</v>
      </c>
      <c r="P219" s="166">
        <f>H219+K219</f>
        <v>5049.15</v>
      </c>
      <c r="Q219" s="166">
        <f t="shared" si="43"/>
        <v>3101.7999999999997</v>
      </c>
      <c r="R219" s="167">
        <f t="shared" si="40"/>
        <v>-1947.35</v>
      </c>
      <c r="S219" s="167">
        <f t="shared" si="41"/>
        <v>61.43212223839656</v>
      </c>
      <c r="T219" s="129">
        <f>SUM(T220:T224)</f>
        <v>5351.7</v>
      </c>
      <c r="U219" s="14"/>
      <c r="V219" s="14"/>
    </row>
    <row r="220" spans="3:21" s="39" customFormat="1" ht="57.75" customHeight="1">
      <c r="C220" s="35"/>
      <c r="D220" s="35"/>
      <c r="E220" s="35"/>
      <c r="F220" s="119"/>
      <c r="G220" s="45" t="s">
        <v>353</v>
      </c>
      <c r="H220" s="170"/>
      <c r="I220" s="170"/>
      <c r="J220" s="176"/>
      <c r="K220" s="170">
        <f>3460.6+1568.55</f>
        <v>5029.15</v>
      </c>
      <c r="L220" s="170"/>
      <c r="M220" s="166">
        <f>2191.7+903.4</f>
        <v>3095.1</v>
      </c>
      <c r="N220" s="166">
        <v>3095.1</v>
      </c>
      <c r="O220" s="171"/>
      <c r="P220" s="166">
        <f>H220+K220</f>
        <v>5029.15</v>
      </c>
      <c r="Q220" s="166">
        <f t="shared" si="43"/>
        <v>3095.1</v>
      </c>
      <c r="R220" s="167">
        <f t="shared" si="40"/>
        <v>-1934.0499999999997</v>
      </c>
      <c r="S220" s="167">
        <f t="shared" si="41"/>
        <v>61.54320312577673</v>
      </c>
      <c r="T220" s="38">
        <f>2200+1200+605+1326.7+150-150</f>
        <v>5331.7</v>
      </c>
      <c r="U220" s="54"/>
    </row>
    <row r="221" spans="3:20" s="18" customFormat="1" ht="58.5" customHeight="1">
      <c r="C221" s="32"/>
      <c r="D221" s="32"/>
      <c r="E221" s="32"/>
      <c r="F221" s="119"/>
      <c r="G221" s="45" t="s">
        <v>555</v>
      </c>
      <c r="H221" s="170"/>
      <c r="I221" s="166"/>
      <c r="J221" s="176"/>
      <c r="K221" s="166">
        <v>20</v>
      </c>
      <c r="L221" s="166"/>
      <c r="M221" s="166">
        <v>6.7</v>
      </c>
      <c r="N221" s="166">
        <v>6.7</v>
      </c>
      <c r="O221" s="167"/>
      <c r="P221" s="166">
        <f>K221+H221</f>
        <v>20</v>
      </c>
      <c r="Q221" s="166">
        <f t="shared" si="43"/>
        <v>6.7</v>
      </c>
      <c r="R221" s="167">
        <f t="shared" si="40"/>
        <v>-13.3</v>
      </c>
      <c r="S221" s="167">
        <f t="shared" si="41"/>
        <v>33.5</v>
      </c>
      <c r="T221" s="38">
        <v>20</v>
      </c>
    </row>
    <row r="222" spans="1:21" s="107" customFormat="1" ht="48" customHeight="1" hidden="1">
      <c r="A222" s="39"/>
      <c r="B222" s="39"/>
      <c r="C222" s="35"/>
      <c r="D222" s="35"/>
      <c r="E222" s="35"/>
      <c r="F222" s="119"/>
      <c r="G222" s="55" t="s">
        <v>381</v>
      </c>
      <c r="H222" s="170"/>
      <c r="I222" s="170"/>
      <c r="J222" s="176" t="e">
        <f t="shared" si="28"/>
        <v>#DIV/0!</v>
      </c>
      <c r="K222" s="170"/>
      <c r="L222" s="170"/>
      <c r="M222" s="181"/>
      <c r="N222" s="181"/>
      <c r="O222" s="171"/>
      <c r="P222" s="166">
        <f>H222+K222</f>
        <v>0</v>
      </c>
      <c r="Q222" s="166">
        <f t="shared" si="43"/>
        <v>0</v>
      </c>
      <c r="R222" s="167">
        <f t="shared" si="40"/>
        <v>0</v>
      </c>
      <c r="S222" s="167" t="e">
        <f t="shared" si="41"/>
        <v>#DIV/0!</v>
      </c>
      <c r="T222" s="38"/>
      <c r="U222" s="106"/>
    </row>
    <row r="223" spans="3:20" s="39" customFormat="1" ht="60.75" customHeight="1" hidden="1">
      <c r="C223" s="35"/>
      <c r="D223" s="35"/>
      <c r="E223" s="35"/>
      <c r="F223" s="119" t="s">
        <v>211</v>
      </c>
      <c r="G223" s="45" t="s">
        <v>116</v>
      </c>
      <c r="H223" s="170"/>
      <c r="I223" s="170"/>
      <c r="J223" s="176" t="e">
        <f t="shared" si="28"/>
        <v>#DIV/0!</v>
      </c>
      <c r="K223" s="170"/>
      <c r="L223" s="170"/>
      <c r="M223" s="181"/>
      <c r="N223" s="181"/>
      <c r="O223" s="172"/>
      <c r="P223" s="166">
        <f>H223+K223</f>
        <v>0</v>
      </c>
      <c r="Q223" s="166">
        <f t="shared" si="43"/>
        <v>0</v>
      </c>
      <c r="R223" s="167">
        <f t="shared" si="40"/>
        <v>0</v>
      </c>
      <c r="S223" s="167" t="e">
        <f t="shared" si="41"/>
        <v>#DIV/0!</v>
      </c>
      <c r="T223" s="133"/>
    </row>
    <row r="224" spans="3:20" s="39" customFormat="1" ht="83.25" customHeight="1" hidden="1">
      <c r="C224" s="35"/>
      <c r="D224" s="35"/>
      <c r="E224" s="35"/>
      <c r="F224" s="119" t="s">
        <v>211</v>
      </c>
      <c r="G224" s="45" t="s">
        <v>89</v>
      </c>
      <c r="H224" s="170"/>
      <c r="I224" s="170"/>
      <c r="J224" s="176" t="e">
        <f t="shared" si="28"/>
        <v>#DIV/0!</v>
      </c>
      <c r="K224" s="170"/>
      <c r="L224" s="170"/>
      <c r="M224" s="181"/>
      <c r="N224" s="181"/>
      <c r="O224" s="172"/>
      <c r="P224" s="166">
        <f>H224+K224</f>
        <v>0</v>
      </c>
      <c r="Q224" s="166">
        <f t="shared" si="43"/>
        <v>0</v>
      </c>
      <c r="R224" s="167">
        <f t="shared" si="40"/>
        <v>0</v>
      </c>
      <c r="S224" s="167" t="e">
        <f t="shared" si="41"/>
        <v>#DIV/0!</v>
      </c>
      <c r="T224" s="133"/>
    </row>
    <row r="225" spans="3:20" s="39" customFormat="1" ht="98.25" customHeight="1">
      <c r="C225" s="35" t="s">
        <v>611</v>
      </c>
      <c r="D225" s="35" t="s">
        <v>702</v>
      </c>
      <c r="E225" s="35" t="s">
        <v>552</v>
      </c>
      <c r="F225" s="119" t="s">
        <v>612</v>
      </c>
      <c r="G225" s="45" t="s">
        <v>613</v>
      </c>
      <c r="H225" s="170"/>
      <c r="I225" s="170"/>
      <c r="J225" s="176"/>
      <c r="K225" s="170">
        <v>2681.1</v>
      </c>
      <c r="L225" s="170"/>
      <c r="M225" s="181">
        <v>735.3</v>
      </c>
      <c r="N225" s="181">
        <v>735.3</v>
      </c>
      <c r="O225" s="171">
        <f>M225/K225*100</f>
        <v>27.4253105068815</v>
      </c>
      <c r="P225" s="166">
        <f>H225+K225</f>
        <v>2681.1</v>
      </c>
      <c r="Q225" s="166">
        <f t="shared" si="43"/>
        <v>735.3</v>
      </c>
      <c r="R225" s="167">
        <f t="shared" si="40"/>
        <v>-1945.8</v>
      </c>
      <c r="S225" s="167">
        <f t="shared" si="41"/>
        <v>27.4253105068815</v>
      </c>
      <c r="T225" s="38">
        <f>480+1710+420</f>
        <v>2610</v>
      </c>
    </row>
    <row r="226" spans="1:21" s="7" customFormat="1" ht="48.75" customHeight="1">
      <c r="A226" s="7">
        <v>3</v>
      </c>
      <c r="B226" s="7">
        <v>39</v>
      </c>
      <c r="C226" s="32" t="s">
        <v>162</v>
      </c>
      <c r="D226" s="32" t="s">
        <v>556</v>
      </c>
      <c r="E226" s="32"/>
      <c r="F226" s="115"/>
      <c r="G226" s="33" t="s">
        <v>67</v>
      </c>
      <c r="H226" s="166">
        <f>SUM(H229:H233)</f>
        <v>615</v>
      </c>
      <c r="I226" s="166">
        <f>SUM(I229:I233)</f>
        <v>548.9</v>
      </c>
      <c r="J226" s="176">
        <f t="shared" si="28"/>
        <v>89.2520325203252</v>
      </c>
      <c r="K226" s="166">
        <f>K227+K228</f>
        <v>1168</v>
      </c>
      <c r="L226" s="166">
        <f>L227+L228</f>
        <v>0</v>
      </c>
      <c r="M226" s="166">
        <f>M227+M228</f>
        <v>667.0999999999999</v>
      </c>
      <c r="N226" s="166">
        <f>N227+N228</f>
        <v>667.0999999999999</v>
      </c>
      <c r="O226" s="171">
        <f>M226/K226*100</f>
        <v>57.11472602739725</v>
      </c>
      <c r="P226" s="166">
        <f>P227+P228</f>
        <v>1783</v>
      </c>
      <c r="Q226" s="166">
        <f>Q227+Q228</f>
        <v>1216</v>
      </c>
      <c r="R226" s="167">
        <f t="shared" si="40"/>
        <v>-567</v>
      </c>
      <c r="S226" s="167">
        <f t="shared" si="41"/>
        <v>68.19966348850252</v>
      </c>
      <c r="T226" s="14">
        <f>T227+T228</f>
        <v>1168</v>
      </c>
      <c r="U226" s="22"/>
    </row>
    <row r="227" spans="3:21" s="39" customFormat="1" ht="102" customHeight="1">
      <c r="C227" s="35" t="s">
        <v>661</v>
      </c>
      <c r="D227" s="35" t="s">
        <v>662</v>
      </c>
      <c r="E227" s="35" t="s">
        <v>662</v>
      </c>
      <c r="F227" s="119"/>
      <c r="G227" s="45" t="s">
        <v>663</v>
      </c>
      <c r="H227" s="170"/>
      <c r="I227" s="170"/>
      <c r="J227" s="176"/>
      <c r="K227" s="170">
        <v>100</v>
      </c>
      <c r="L227" s="170"/>
      <c r="M227" s="166">
        <v>0</v>
      </c>
      <c r="N227" s="166">
        <v>0</v>
      </c>
      <c r="O227" s="171">
        <f aca="true" t="shared" si="44" ref="O227:O243">M227/K227*100</f>
        <v>0</v>
      </c>
      <c r="P227" s="170">
        <f aca="true" t="shared" si="45" ref="P227:P232">H227+K227</f>
        <v>100</v>
      </c>
      <c r="Q227" s="170">
        <f aca="true" t="shared" si="46" ref="Q227:Q232">I227+M227</f>
        <v>0</v>
      </c>
      <c r="R227" s="167">
        <f t="shared" si="40"/>
        <v>-100</v>
      </c>
      <c r="S227" s="167">
        <f t="shared" si="41"/>
        <v>0</v>
      </c>
      <c r="T227" s="38">
        <v>100</v>
      </c>
      <c r="U227" s="54"/>
    </row>
    <row r="228" spans="3:21" s="7" customFormat="1" ht="68.25" customHeight="1">
      <c r="C228" s="35" t="s">
        <v>103</v>
      </c>
      <c r="D228" s="35" t="s">
        <v>559</v>
      </c>
      <c r="E228" s="35" t="s">
        <v>557</v>
      </c>
      <c r="F228" s="119" t="s">
        <v>253</v>
      </c>
      <c r="G228" s="45" t="s">
        <v>610</v>
      </c>
      <c r="H228" s="166">
        <f>SUM(H229:H233)</f>
        <v>615</v>
      </c>
      <c r="I228" s="166">
        <f>SUM(I229:I233)</f>
        <v>548.9</v>
      </c>
      <c r="J228" s="176">
        <f t="shared" si="28"/>
        <v>89.2520325203252</v>
      </c>
      <c r="K228" s="166">
        <f>SUM(K229:K233)</f>
        <v>1068</v>
      </c>
      <c r="L228" s="166">
        <f>SUM(L229:L233)</f>
        <v>0</v>
      </c>
      <c r="M228" s="166">
        <f>M229+M230+M232</f>
        <v>667.0999999999999</v>
      </c>
      <c r="N228" s="166">
        <f>N229+N230+N232</f>
        <v>667.0999999999999</v>
      </c>
      <c r="O228" s="171">
        <f t="shared" si="44"/>
        <v>62.46254681647939</v>
      </c>
      <c r="P228" s="170">
        <f t="shared" si="45"/>
        <v>1683</v>
      </c>
      <c r="Q228" s="170">
        <f t="shared" si="46"/>
        <v>1216</v>
      </c>
      <c r="R228" s="167">
        <f t="shared" si="40"/>
        <v>-467</v>
      </c>
      <c r="S228" s="167">
        <f t="shared" si="41"/>
        <v>72.25193107546049</v>
      </c>
      <c r="T228" s="133">
        <f>SUM(T229:T233)</f>
        <v>1068</v>
      </c>
      <c r="U228" s="22"/>
    </row>
    <row r="229" spans="3:20" s="19" customFormat="1" ht="60" customHeight="1">
      <c r="C229" s="35"/>
      <c r="D229" s="35"/>
      <c r="E229" s="35"/>
      <c r="F229" s="119"/>
      <c r="G229" s="45" t="s">
        <v>558</v>
      </c>
      <c r="H229" s="170"/>
      <c r="I229" s="170"/>
      <c r="J229" s="176"/>
      <c r="K229" s="170">
        <v>435</v>
      </c>
      <c r="L229" s="170"/>
      <c r="M229" s="181">
        <v>238.7</v>
      </c>
      <c r="N229" s="181">
        <v>238.7</v>
      </c>
      <c r="O229" s="171">
        <f t="shared" si="44"/>
        <v>54.8735632183908</v>
      </c>
      <c r="P229" s="170">
        <f t="shared" si="45"/>
        <v>435</v>
      </c>
      <c r="Q229" s="170">
        <f t="shared" si="46"/>
        <v>238.7</v>
      </c>
      <c r="R229" s="167">
        <f t="shared" si="40"/>
        <v>-196.3</v>
      </c>
      <c r="S229" s="167">
        <f t="shared" si="41"/>
        <v>54.8735632183908</v>
      </c>
      <c r="T229" s="38">
        <v>435</v>
      </c>
    </row>
    <row r="230" spans="3:20" s="19" customFormat="1" ht="57.75" customHeight="1">
      <c r="C230" s="35"/>
      <c r="D230" s="35"/>
      <c r="E230" s="35"/>
      <c r="F230" s="119"/>
      <c r="G230" s="45" t="s">
        <v>353</v>
      </c>
      <c r="H230" s="170">
        <v>600</v>
      </c>
      <c r="I230" s="170">
        <v>537.1</v>
      </c>
      <c r="J230" s="176"/>
      <c r="K230" s="170">
        <v>633</v>
      </c>
      <c r="L230" s="170"/>
      <c r="M230" s="181">
        <v>428.4</v>
      </c>
      <c r="N230" s="181">
        <v>428.4</v>
      </c>
      <c r="O230" s="171">
        <f t="shared" si="44"/>
        <v>67.67772511848341</v>
      </c>
      <c r="P230" s="170">
        <f t="shared" si="45"/>
        <v>1233</v>
      </c>
      <c r="Q230" s="170">
        <f t="shared" si="46"/>
        <v>965.5</v>
      </c>
      <c r="R230" s="167">
        <f t="shared" si="40"/>
        <v>-267.5</v>
      </c>
      <c r="S230" s="167">
        <f t="shared" si="41"/>
        <v>78.30494728304947</v>
      </c>
      <c r="T230" s="38">
        <f>633</f>
        <v>633</v>
      </c>
    </row>
    <row r="231" spans="3:20" s="19" customFormat="1" ht="79.5" customHeight="1" hidden="1">
      <c r="C231" s="35"/>
      <c r="D231" s="35"/>
      <c r="E231" s="35"/>
      <c r="F231" s="119"/>
      <c r="G231" s="45" t="s">
        <v>310</v>
      </c>
      <c r="H231" s="170"/>
      <c r="I231" s="170"/>
      <c r="J231" s="176" t="e">
        <f t="shared" si="28"/>
        <v>#DIV/0!</v>
      </c>
      <c r="K231" s="170"/>
      <c r="L231" s="170"/>
      <c r="M231" s="181"/>
      <c r="N231" s="181"/>
      <c r="O231" s="171" t="e">
        <f t="shared" si="44"/>
        <v>#DIV/0!</v>
      </c>
      <c r="P231" s="170">
        <f t="shared" si="45"/>
        <v>0</v>
      </c>
      <c r="Q231" s="170">
        <f t="shared" si="46"/>
        <v>0</v>
      </c>
      <c r="R231" s="167">
        <f t="shared" si="40"/>
        <v>0</v>
      </c>
      <c r="S231" s="167" t="e">
        <f t="shared" si="41"/>
        <v>#DIV/0!</v>
      </c>
      <c r="T231" s="133"/>
    </row>
    <row r="232" spans="3:20" s="19" customFormat="1" ht="49.5" customHeight="1">
      <c r="C232" s="35"/>
      <c r="D232" s="35"/>
      <c r="E232" s="35"/>
      <c r="F232" s="119"/>
      <c r="G232" s="45" t="s">
        <v>669</v>
      </c>
      <c r="H232" s="170">
        <v>15</v>
      </c>
      <c r="I232" s="170">
        <v>11.8</v>
      </c>
      <c r="J232" s="176">
        <f t="shared" si="28"/>
        <v>78.66666666666667</v>
      </c>
      <c r="K232" s="170"/>
      <c r="L232" s="170"/>
      <c r="M232" s="181"/>
      <c r="N232" s="181"/>
      <c r="O232" s="171"/>
      <c r="P232" s="170">
        <f t="shared" si="45"/>
        <v>15</v>
      </c>
      <c r="Q232" s="170">
        <f t="shared" si="46"/>
        <v>11.8</v>
      </c>
      <c r="R232" s="167">
        <f t="shared" si="40"/>
        <v>-3.1999999999999993</v>
      </c>
      <c r="S232" s="167">
        <f t="shared" si="41"/>
        <v>78.66666666666667</v>
      </c>
      <c r="T232" s="133"/>
    </row>
    <row r="233" spans="3:20" s="39" customFormat="1" ht="69.75" customHeight="1" hidden="1">
      <c r="C233" s="35"/>
      <c r="D233" s="35"/>
      <c r="E233" s="35"/>
      <c r="F233" s="119"/>
      <c r="G233" s="45" t="s">
        <v>382</v>
      </c>
      <c r="H233" s="170"/>
      <c r="I233" s="170"/>
      <c r="J233" s="176" t="e">
        <f t="shared" si="28"/>
        <v>#DIV/0!</v>
      </c>
      <c r="K233" s="170"/>
      <c r="L233" s="170"/>
      <c r="M233" s="181"/>
      <c r="N233" s="181"/>
      <c r="O233" s="171" t="e">
        <f t="shared" si="44"/>
        <v>#DIV/0!</v>
      </c>
      <c r="P233" s="170"/>
      <c r="Q233" s="170"/>
      <c r="R233" s="171"/>
      <c r="S233" s="171"/>
      <c r="T233" s="133"/>
    </row>
    <row r="234" spans="1:21" s="7" customFormat="1" ht="53.25" customHeight="1">
      <c r="A234" s="7">
        <v>4</v>
      </c>
      <c r="B234" s="7">
        <v>40</v>
      </c>
      <c r="C234" s="32" t="s">
        <v>104</v>
      </c>
      <c r="D234" s="32" t="s">
        <v>560</v>
      </c>
      <c r="E234" s="32" t="s">
        <v>557</v>
      </c>
      <c r="F234" s="115" t="s">
        <v>212</v>
      </c>
      <c r="G234" s="43" t="s">
        <v>183</v>
      </c>
      <c r="H234" s="166">
        <f>SUM(H235:H242)</f>
        <v>18541.3</v>
      </c>
      <c r="I234" s="166">
        <f>SUM(I235:I242)</f>
        <v>12986</v>
      </c>
      <c r="J234" s="176">
        <f t="shared" si="28"/>
        <v>70.03823895843334</v>
      </c>
      <c r="K234" s="166">
        <f>SUM(K235:K242)</f>
        <v>2522.4</v>
      </c>
      <c r="L234" s="166"/>
      <c r="M234" s="166">
        <f aca="true" t="shared" si="47" ref="M234:T234">SUM(M235:M242)</f>
        <v>2006.6000000000001</v>
      </c>
      <c r="N234" s="166">
        <f t="shared" si="47"/>
        <v>2006.6</v>
      </c>
      <c r="O234" s="171">
        <f t="shared" si="44"/>
        <v>79.5512210593086</v>
      </c>
      <c r="P234" s="166">
        <f t="shared" si="47"/>
        <v>21063.7</v>
      </c>
      <c r="Q234" s="166">
        <f t="shared" si="47"/>
        <v>14992.599999999999</v>
      </c>
      <c r="R234" s="167">
        <f t="shared" si="47"/>
        <v>-6071.1</v>
      </c>
      <c r="S234" s="167">
        <f>Q234/P234*100</f>
        <v>71.17742846698347</v>
      </c>
      <c r="T234" s="129">
        <f t="shared" si="47"/>
        <v>2104.9</v>
      </c>
      <c r="U234" s="22"/>
    </row>
    <row r="235" spans="3:21" s="19" customFormat="1" ht="63" customHeight="1">
      <c r="C235" s="35"/>
      <c r="D235" s="35"/>
      <c r="E235" s="35"/>
      <c r="F235" s="119"/>
      <c r="G235" s="45" t="s">
        <v>353</v>
      </c>
      <c r="H235" s="187">
        <f>5.3+500+16801.2</f>
        <v>17306.5</v>
      </c>
      <c r="I235" s="187">
        <f>5.3+496.7+11788.5</f>
        <v>12290.5</v>
      </c>
      <c r="J235" s="176">
        <f t="shared" si="28"/>
        <v>71.01667003726924</v>
      </c>
      <c r="K235" s="170">
        <f>963+950+516.8</f>
        <v>2429.8</v>
      </c>
      <c r="L235" s="170"/>
      <c r="M235" s="181">
        <f>100.6+939.6+886.1</f>
        <v>1926.3000000000002</v>
      </c>
      <c r="N235" s="181">
        <v>1926.3</v>
      </c>
      <c r="O235" s="171">
        <f t="shared" si="44"/>
        <v>79.27812988723352</v>
      </c>
      <c r="P235" s="170">
        <f>H235+K235</f>
        <v>19736.3</v>
      </c>
      <c r="Q235" s="170">
        <f>I235+M235</f>
        <v>14216.8</v>
      </c>
      <c r="R235" s="171">
        <f>Q235-P235</f>
        <v>-5519.5</v>
      </c>
      <c r="S235" s="171">
        <f>Q235/P235*100</f>
        <v>72.033765194084</v>
      </c>
      <c r="T235" s="38">
        <f>380+1000+100+517</f>
        <v>1997</v>
      </c>
      <c r="U235" s="54"/>
    </row>
    <row r="236" spans="3:21" s="19" customFormat="1" ht="63.75" customHeight="1">
      <c r="C236" s="35"/>
      <c r="D236" s="35"/>
      <c r="E236" s="35"/>
      <c r="F236" s="119"/>
      <c r="G236" s="37" t="s">
        <v>668</v>
      </c>
      <c r="H236" s="170"/>
      <c r="I236" s="170"/>
      <c r="J236" s="176"/>
      <c r="K236" s="170">
        <v>37.9</v>
      </c>
      <c r="L236" s="170"/>
      <c r="M236" s="181">
        <v>25.6</v>
      </c>
      <c r="N236" s="181">
        <v>25.6</v>
      </c>
      <c r="O236" s="171">
        <f t="shared" si="44"/>
        <v>67.54617414248023</v>
      </c>
      <c r="P236" s="170">
        <f aca="true" t="shared" si="48" ref="P236:P242">H236+K236</f>
        <v>37.9</v>
      </c>
      <c r="Q236" s="170">
        <f aca="true" t="shared" si="49" ref="Q236:Q242">I236+M236</f>
        <v>25.6</v>
      </c>
      <c r="R236" s="171">
        <f aca="true" t="shared" si="50" ref="R236:R242">Q236-P236</f>
        <v>-12.299999999999997</v>
      </c>
      <c r="S236" s="171">
        <f aca="true" t="shared" si="51" ref="S236:S242">Q236/P236*100</f>
        <v>67.54617414248023</v>
      </c>
      <c r="T236" s="38">
        <f>37.9</f>
        <v>37.9</v>
      </c>
      <c r="U236" s="54"/>
    </row>
    <row r="237" spans="3:20" s="7" customFormat="1" ht="58.5" customHeight="1">
      <c r="C237" s="32"/>
      <c r="D237" s="32"/>
      <c r="E237" s="32"/>
      <c r="F237" s="115"/>
      <c r="G237" s="45" t="s">
        <v>558</v>
      </c>
      <c r="H237" s="170">
        <f>52+188</f>
        <v>240</v>
      </c>
      <c r="I237" s="170">
        <v>227.5</v>
      </c>
      <c r="J237" s="176">
        <f t="shared" si="28"/>
        <v>94.79166666666666</v>
      </c>
      <c r="K237" s="170"/>
      <c r="L237" s="170"/>
      <c r="M237" s="181"/>
      <c r="N237" s="181">
        <v>0</v>
      </c>
      <c r="O237" s="171"/>
      <c r="P237" s="170">
        <f t="shared" si="48"/>
        <v>240</v>
      </c>
      <c r="Q237" s="170">
        <f t="shared" si="49"/>
        <v>227.5</v>
      </c>
      <c r="R237" s="171">
        <f t="shared" si="50"/>
        <v>-12.5</v>
      </c>
      <c r="S237" s="171">
        <f t="shared" si="51"/>
        <v>94.79166666666666</v>
      </c>
      <c r="T237" s="133"/>
    </row>
    <row r="238" spans="3:21" s="19" customFormat="1" ht="82.5" customHeight="1" hidden="1">
      <c r="C238" s="35"/>
      <c r="D238" s="35"/>
      <c r="E238" s="35"/>
      <c r="F238" s="119"/>
      <c r="G238" s="37" t="s">
        <v>93</v>
      </c>
      <c r="H238" s="170"/>
      <c r="I238" s="170"/>
      <c r="J238" s="176" t="e">
        <f t="shared" si="28"/>
        <v>#DIV/0!</v>
      </c>
      <c r="K238" s="170"/>
      <c r="L238" s="170"/>
      <c r="M238" s="181"/>
      <c r="N238" s="181"/>
      <c r="O238" s="171" t="e">
        <f t="shared" si="44"/>
        <v>#DIV/0!</v>
      </c>
      <c r="P238" s="170">
        <f t="shared" si="48"/>
        <v>0</v>
      </c>
      <c r="Q238" s="170">
        <f t="shared" si="49"/>
        <v>0</v>
      </c>
      <c r="R238" s="171">
        <f t="shared" si="50"/>
        <v>0</v>
      </c>
      <c r="S238" s="171" t="e">
        <f t="shared" si="51"/>
        <v>#DIV/0!</v>
      </c>
      <c r="T238" s="133"/>
      <c r="U238" s="54"/>
    </row>
    <row r="239" spans="3:21" s="19" customFormat="1" ht="37.5">
      <c r="C239" s="35"/>
      <c r="D239" s="35"/>
      <c r="E239" s="35"/>
      <c r="F239" s="119"/>
      <c r="G239" s="45" t="s">
        <v>741</v>
      </c>
      <c r="H239" s="170">
        <v>46.5</v>
      </c>
      <c r="I239" s="170">
        <v>12.9</v>
      </c>
      <c r="J239" s="176">
        <f t="shared" si="28"/>
        <v>27.741935483870968</v>
      </c>
      <c r="K239" s="170"/>
      <c r="L239" s="170"/>
      <c r="M239" s="181"/>
      <c r="N239" s="181"/>
      <c r="O239" s="171" t="e">
        <f t="shared" si="44"/>
        <v>#DIV/0!</v>
      </c>
      <c r="P239" s="170">
        <f t="shared" si="48"/>
        <v>46.5</v>
      </c>
      <c r="Q239" s="170">
        <f t="shared" si="49"/>
        <v>12.9</v>
      </c>
      <c r="R239" s="171">
        <f t="shared" si="50"/>
        <v>-33.6</v>
      </c>
      <c r="S239" s="171">
        <f t="shared" si="51"/>
        <v>27.741935483870968</v>
      </c>
      <c r="T239" s="133"/>
      <c r="U239" s="54"/>
    </row>
    <row r="240" spans="3:21" s="39" customFormat="1" ht="75">
      <c r="C240" s="35"/>
      <c r="D240" s="35"/>
      <c r="E240" s="35"/>
      <c r="F240" s="119"/>
      <c r="G240" s="37" t="s">
        <v>743</v>
      </c>
      <c r="H240" s="170">
        <v>418.3</v>
      </c>
      <c r="I240" s="170">
        <v>237.1</v>
      </c>
      <c r="J240" s="176">
        <f t="shared" si="28"/>
        <v>56.68180731532393</v>
      </c>
      <c r="K240" s="170"/>
      <c r="L240" s="170"/>
      <c r="M240" s="181"/>
      <c r="N240" s="181"/>
      <c r="O240" s="171" t="e">
        <f t="shared" si="44"/>
        <v>#DIV/0!</v>
      </c>
      <c r="P240" s="170">
        <f t="shared" si="48"/>
        <v>418.3</v>
      </c>
      <c r="Q240" s="170">
        <f t="shared" si="49"/>
        <v>237.1</v>
      </c>
      <c r="R240" s="171">
        <f t="shared" si="50"/>
        <v>-181.20000000000002</v>
      </c>
      <c r="S240" s="171">
        <f t="shared" si="51"/>
        <v>56.68180731532393</v>
      </c>
      <c r="T240" s="133"/>
      <c r="U240" s="54"/>
    </row>
    <row r="241" spans="3:21" s="39" customFormat="1" ht="66" customHeight="1">
      <c r="C241" s="35"/>
      <c r="D241" s="35"/>
      <c r="E241" s="35"/>
      <c r="F241" s="119"/>
      <c r="G241" s="37" t="s">
        <v>666</v>
      </c>
      <c r="H241" s="170">
        <v>130</v>
      </c>
      <c r="I241" s="170">
        <v>18.1</v>
      </c>
      <c r="J241" s="176">
        <f aca="true" t="shared" si="52" ref="J241:J302">I241/H241*100</f>
        <v>13.923076923076923</v>
      </c>
      <c r="K241" s="170">
        <v>54.7</v>
      </c>
      <c r="L241" s="170"/>
      <c r="M241" s="181">
        <v>54.7</v>
      </c>
      <c r="N241" s="181">
        <v>54.7</v>
      </c>
      <c r="O241" s="171">
        <f t="shared" si="44"/>
        <v>100</v>
      </c>
      <c r="P241" s="170">
        <f t="shared" si="48"/>
        <v>184.7</v>
      </c>
      <c r="Q241" s="170">
        <f t="shared" si="49"/>
        <v>72.80000000000001</v>
      </c>
      <c r="R241" s="171">
        <f t="shared" si="50"/>
        <v>-111.89999999999998</v>
      </c>
      <c r="S241" s="171">
        <f t="shared" si="51"/>
        <v>39.41526800216568</v>
      </c>
      <c r="T241" s="38">
        <v>70</v>
      </c>
      <c r="U241" s="54"/>
    </row>
    <row r="242" spans="3:21" s="39" customFormat="1" ht="66" customHeight="1">
      <c r="C242" s="35"/>
      <c r="D242" s="35"/>
      <c r="E242" s="35"/>
      <c r="F242" s="119"/>
      <c r="G242" s="37" t="s">
        <v>667</v>
      </c>
      <c r="H242" s="170">
        <v>400</v>
      </c>
      <c r="I242" s="170">
        <v>199.9</v>
      </c>
      <c r="J242" s="176">
        <f t="shared" si="52"/>
        <v>49.975</v>
      </c>
      <c r="K242" s="170"/>
      <c r="L242" s="170"/>
      <c r="M242" s="181"/>
      <c r="N242" s="181">
        <v>0</v>
      </c>
      <c r="O242" s="171"/>
      <c r="P242" s="170">
        <f t="shared" si="48"/>
        <v>400</v>
      </c>
      <c r="Q242" s="170">
        <f t="shared" si="49"/>
        <v>199.9</v>
      </c>
      <c r="R242" s="171">
        <f t="shared" si="50"/>
        <v>-200.1</v>
      </c>
      <c r="S242" s="171">
        <f t="shared" si="51"/>
        <v>49.975</v>
      </c>
      <c r="T242" s="133"/>
      <c r="U242" s="54"/>
    </row>
    <row r="243" spans="2:21" s="7" customFormat="1" ht="63" customHeight="1" hidden="1">
      <c r="B243" s="7">
        <v>71</v>
      </c>
      <c r="C243" s="32" t="s">
        <v>41</v>
      </c>
      <c r="D243" s="32" t="s">
        <v>561</v>
      </c>
      <c r="E243" s="32" t="s">
        <v>557</v>
      </c>
      <c r="F243" s="115" t="s">
        <v>2</v>
      </c>
      <c r="G243" s="43" t="s">
        <v>343</v>
      </c>
      <c r="H243" s="166"/>
      <c r="I243" s="166"/>
      <c r="J243" s="176" t="e">
        <f t="shared" si="52"/>
        <v>#DIV/0!</v>
      </c>
      <c r="K243" s="166"/>
      <c r="L243" s="166"/>
      <c r="M243" s="173"/>
      <c r="N243" s="173"/>
      <c r="O243" s="171" t="e">
        <f t="shared" si="44"/>
        <v>#DIV/0!</v>
      </c>
      <c r="P243" s="166"/>
      <c r="Q243" s="166"/>
      <c r="R243" s="167"/>
      <c r="S243" s="167"/>
      <c r="T243" s="129"/>
      <c r="U243" s="22"/>
    </row>
    <row r="244" spans="1:21" s="7" customFormat="1" ht="61.5" customHeight="1">
      <c r="A244" s="50">
        <v>8</v>
      </c>
      <c r="B244" s="7">
        <v>41</v>
      </c>
      <c r="C244" s="32" t="s">
        <v>105</v>
      </c>
      <c r="D244" s="32" t="s">
        <v>425</v>
      </c>
      <c r="E244" s="32" t="s">
        <v>426</v>
      </c>
      <c r="F244" s="115" t="s">
        <v>215</v>
      </c>
      <c r="G244" s="43" t="s">
        <v>185</v>
      </c>
      <c r="H244" s="166"/>
      <c r="I244" s="166"/>
      <c r="J244" s="176"/>
      <c r="K244" s="166">
        <f>K245+K246+K247+K248</f>
        <v>20341.899999999998</v>
      </c>
      <c r="L244" s="166">
        <f>L245+L246+L247+L248</f>
        <v>0</v>
      </c>
      <c r="M244" s="166">
        <f>M245+M246+M247+M248</f>
        <v>8411.4</v>
      </c>
      <c r="N244" s="166">
        <f>N245+N246+N247+N248</f>
        <v>8411.4</v>
      </c>
      <c r="O244" s="167">
        <f aca="true" t="shared" si="53" ref="O244:O250">M244/K244*100</f>
        <v>41.35011970366583</v>
      </c>
      <c r="P244" s="166">
        <f>H244+K244</f>
        <v>20341.899999999998</v>
      </c>
      <c r="Q244" s="166">
        <f>I244+N244</f>
        <v>8411.4</v>
      </c>
      <c r="R244" s="167">
        <f aca="true" t="shared" si="54" ref="R244:R252">Q244-P244</f>
        <v>-11930.499999999998</v>
      </c>
      <c r="S244" s="167">
        <f>Q244/P244*100</f>
        <v>41.35011970366583</v>
      </c>
      <c r="T244" s="129">
        <f>SUM(T245:T248)</f>
        <v>16931.572</v>
      </c>
      <c r="U244" s="22"/>
    </row>
    <row r="245" spans="3:21" s="39" customFormat="1" ht="72.75" customHeight="1">
      <c r="C245" s="35"/>
      <c r="D245" s="35"/>
      <c r="E245" s="35"/>
      <c r="F245" s="119"/>
      <c r="G245" s="37" t="s">
        <v>313</v>
      </c>
      <c r="H245" s="170"/>
      <c r="I245" s="170"/>
      <c r="J245" s="176"/>
      <c r="K245" s="170">
        <v>15063.6</v>
      </c>
      <c r="L245" s="170"/>
      <c r="M245" s="170">
        <v>6059.8</v>
      </c>
      <c r="N245" s="170">
        <v>6059.8</v>
      </c>
      <c r="O245" s="167">
        <f t="shared" si="53"/>
        <v>40.228099524682015</v>
      </c>
      <c r="P245" s="166">
        <f>H245+K245</f>
        <v>15063.6</v>
      </c>
      <c r="Q245" s="166">
        <f>I245+N245</f>
        <v>6059.8</v>
      </c>
      <c r="R245" s="167">
        <f t="shared" si="54"/>
        <v>-9003.8</v>
      </c>
      <c r="S245" s="167">
        <f>Q245/P245*100</f>
        <v>40.228099524682015</v>
      </c>
      <c r="T245" s="38">
        <f>1500+100+414.1+3000+3580+95+130.9+5234.572+2500+200-150-1273</f>
        <v>15331.572</v>
      </c>
      <c r="U245" s="54"/>
    </row>
    <row r="246" spans="1:21" s="107" customFormat="1" ht="48" customHeight="1">
      <c r="A246" s="39"/>
      <c r="B246" s="39"/>
      <c r="C246" s="35"/>
      <c r="D246" s="35"/>
      <c r="E246" s="35"/>
      <c r="F246" s="119"/>
      <c r="G246" s="55" t="s">
        <v>381</v>
      </c>
      <c r="H246" s="170"/>
      <c r="I246" s="170"/>
      <c r="J246" s="176"/>
      <c r="K246" s="170">
        <v>1510</v>
      </c>
      <c r="L246" s="170"/>
      <c r="M246" s="181">
        <v>420.4</v>
      </c>
      <c r="N246" s="181">
        <v>420.4</v>
      </c>
      <c r="O246" s="167">
        <f t="shared" si="53"/>
        <v>27.841059602649004</v>
      </c>
      <c r="P246" s="166">
        <f>H246+K246</f>
        <v>1510</v>
      </c>
      <c r="Q246" s="166">
        <f>I246+N246</f>
        <v>420.4</v>
      </c>
      <c r="R246" s="167">
        <f t="shared" si="54"/>
        <v>-1089.6</v>
      </c>
      <c r="S246" s="167">
        <f>Q246/P246*100</f>
        <v>27.841059602649004</v>
      </c>
      <c r="T246" s="38">
        <v>1600</v>
      </c>
      <c r="U246" s="106"/>
    </row>
    <row r="247" spans="3:21" s="39" customFormat="1" ht="88.5" customHeight="1">
      <c r="C247" s="35"/>
      <c r="D247" s="35"/>
      <c r="E247" s="35"/>
      <c r="F247" s="119"/>
      <c r="G247" s="37" t="s">
        <v>150</v>
      </c>
      <c r="H247" s="190">
        <f>I247+L247</f>
        <v>0</v>
      </c>
      <c r="I247" s="191"/>
      <c r="J247" s="192"/>
      <c r="K247" s="223">
        <v>3768.3</v>
      </c>
      <c r="L247" s="191"/>
      <c r="M247" s="223">
        <v>1931.2</v>
      </c>
      <c r="N247" s="223">
        <v>1931.2</v>
      </c>
      <c r="O247" s="167">
        <f t="shared" si="53"/>
        <v>51.248573627365126</v>
      </c>
      <c r="P247" s="190">
        <f>H247+K247</f>
        <v>3768.3</v>
      </c>
      <c r="Q247" s="190">
        <f>I247+N247</f>
        <v>1931.2</v>
      </c>
      <c r="R247" s="193">
        <f t="shared" si="54"/>
        <v>-1837.1000000000001</v>
      </c>
      <c r="S247" s="193">
        <v>0</v>
      </c>
      <c r="T247" s="133"/>
      <c r="U247" s="54"/>
    </row>
    <row r="248" spans="3:21" s="39" customFormat="1" ht="54.75" customHeight="1" hidden="1">
      <c r="C248" s="35"/>
      <c r="D248" s="35"/>
      <c r="E248" s="35"/>
      <c r="F248" s="119"/>
      <c r="G248" s="37" t="s">
        <v>379</v>
      </c>
      <c r="H248" s="190">
        <f>I248+L248</f>
        <v>0</v>
      </c>
      <c r="I248" s="191"/>
      <c r="J248" s="192"/>
      <c r="K248" s="191"/>
      <c r="L248" s="191"/>
      <c r="M248" s="191"/>
      <c r="N248" s="191"/>
      <c r="O248" s="167" t="e">
        <f t="shared" si="53"/>
        <v>#DIV/0!</v>
      </c>
      <c r="P248" s="190">
        <f>H248+K248</f>
        <v>0</v>
      </c>
      <c r="Q248" s="190">
        <f>I248+N248</f>
        <v>0</v>
      </c>
      <c r="R248" s="193">
        <f t="shared" si="54"/>
        <v>0</v>
      </c>
      <c r="S248" s="193">
        <v>0</v>
      </c>
      <c r="T248" s="133"/>
      <c r="U248" s="54"/>
    </row>
    <row r="249" spans="2:21" s="7" customFormat="1" ht="69" customHeight="1">
      <c r="B249" s="7">
        <v>73</v>
      </c>
      <c r="C249" s="32" t="s">
        <v>106</v>
      </c>
      <c r="D249" s="32" t="s">
        <v>676</v>
      </c>
      <c r="E249" s="32" t="s">
        <v>445</v>
      </c>
      <c r="F249" s="115" t="s">
        <v>11</v>
      </c>
      <c r="G249" s="40" t="s">
        <v>12</v>
      </c>
      <c r="H249" s="166"/>
      <c r="I249" s="166"/>
      <c r="J249" s="176"/>
      <c r="K249" s="166">
        <f>K250</f>
        <v>98</v>
      </c>
      <c r="L249" s="166">
        <f>L250</f>
        <v>0</v>
      </c>
      <c r="M249" s="166">
        <f>M250</f>
        <v>98</v>
      </c>
      <c r="N249" s="166">
        <f>N250</f>
        <v>98</v>
      </c>
      <c r="O249" s="167">
        <f t="shared" si="53"/>
        <v>100</v>
      </c>
      <c r="P249" s="166">
        <f>K249+H249</f>
        <v>98</v>
      </c>
      <c r="Q249" s="166">
        <f>I249+M249</f>
        <v>98</v>
      </c>
      <c r="R249" s="167">
        <f t="shared" si="54"/>
        <v>0</v>
      </c>
      <c r="S249" s="167">
        <f>Q249/P249*100</f>
        <v>100</v>
      </c>
      <c r="T249" s="14">
        <f>T250</f>
        <v>395</v>
      </c>
      <c r="U249" s="22"/>
    </row>
    <row r="250" spans="3:21" s="7" customFormat="1" ht="69" customHeight="1">
      <c r="C250" s="32"/>
      <c r="D250" s="32"/>
      <c r="E250" s="32"/>
      <c r="F250" s="115"/>
      <c r="G250" s="153" t="s">
        <v>677</v>
      </c>
      <c r="H250" s="166"/>
      <c r="I250" s="166"/>
      <c r="J250" s="176"/>
      <c r="K250" s="166">
        <v>98</v>
      </c>
      <c r="L250" s="166"/>
      <c r="M250" s="170">
        <v>98</v>
      </c>
      <c r="N250" s="170">
        <v>98</v>
      </c>
      <c r="O250" s="167">
        <f t="shared" si="53"/>
        <v>100</v>
      </c>
      <c r="P250" s="166">
        <f>K250+H250</f>
        <v>98</v>
      </c>
      <c r="Q250" s="166">
        <f>I250+M250</f>
        <v>98</v>
      </c>
      <c r="R250" s="167">
        <f t="shared" si="54"/>
        <v>0</v>
      </c>
      <c r="S250" s="167">
        <f>Q250/P250*100</f>
        <v>100</v>
      </c>
      <c r="T250" s="14">
        <v>395</v>
      </c>
      <c r="U250" s="22"/>
    </row>
    <row r="251" spans="1:21" s="7" customFormat="1" ht="60" customHeight="1">
      <c r="A251" s="50">
        <v>7</v>
      </c>
      <c r="B251" s="7">
        <v>42</v>
      </c>
      <c r="C251" s="32" t="s">
        <v>107</v>
      </c>
      <c r="D251" s="32" t="s">
        <v>562</v>
      </c>
      <c r="E251" s="32" t="s">
        <v>563</v>
      </c>
      <c r="F251" s="115" t="s">
        <v>213</v>
      </c>
      <c r="G251" s="43" t="s">
        <v>311</v>
      </c>
      <c r="H251" s="166">
        <f>H253+H254+H252</f>
        <v>100.1</v>
      </c>
      <c r="I251" s="166">
        <f>I253+I254+I252</f>
        <v>0</v>
      </c>
      <c r="J251" s="176">
        <f t="shared" si="52"/>
        <v>0</v>
      </c>
      <c r="K251" s="166">
        <f>K252</f>
        <v>9.5</v>
      </c>
      <c r="L251" s="166">
        <f>L252</f>
        <v>0</v>
      </c>
      <c r="M251" s="166">
        <f>M252</f>
        <v>8</v>
      </c>
      <c r="N251" s="166">
        <f>N252</f>
        <v>8</v>
      </c>
      <c r="O251" s="167">
        <f>O252+O253+O254</f>
        <v>0</v>
      </c>
      <c r="P251" s="166">
        <f>H251+K251</f>
        <v>109.6</v>
      </c>
      <c r="Q251" s="166">
        <f>I251+M251</f>
        <v>8</v>
      </c>
      <c r="R251" s="167">
        <f t="shared" si="54"/>
        <v>-101.6</v>
      </c>
      <c r="S251" s="167">
        <f>Q251/P251*100</f>
        <v>7.299270072992702</v>
      </c>
      <c r="T251" s="129">
        <f>T252+T253+T254</f>
        <v>1500</v>
      </c>
      <c r="U251" s="22"/>
    </row>
    <row r="252" spans="1:21" s="39" customFormat="1" ht="62.25" customHeight="1">
      <c r="A252" s="94"/>
      <c r="C252" s="35"/>
      <c r="D252" s="35"/>
      <c r="E252" s="35"/>
      <c r="F252" s="119"/>
      <c r="G252" s="37" t="s">
        <v>312</v>
      </c>
      <c r="H252" s="170">
        <v>100.1</v>
      </c>
      <c r="I252" s="170">
        <v>0</v>
      </c>
      <c r="J252" s="176">
        <f t="shared" si="52"/>
        <v>0</v>
      </c>
      <c r="K252" s="170">
        <v>9.5</v>
      </c>
      <c r="L252" s="170"/>
      <c r="M252" s="170">
        <v>8</v>
      </c>
      <c r="N252" s="170">
        <v>8</v>
      </c>
      <c r="O252" s="171"/>
      <c r="P252" s="166">
        <f>H252+K252</f>
        <v>109.6</v>
      </c>
      <c r="Q252" s="166">
        <f>I252+M252</f>
        <v>8</v>
      </c>
      <c r="R252" s="167">
        <f t="shared" si="54"/>
        <v>-101.6</v>
      </c>
      <c r="S252" s="167">
        <f>Q252/P252*100</f>
        <v>7.299270072992702</v>
      </c>
      <c r="T252" s="38">
        <v>1500</v>
      </c>
      <c r="U252" s="54"/>
    </row>
    <row r="253" spans="1:21" s="39" customFormat="1" ht="58.5" customHeight="1" hidden="1">
      <c r="A253" s="94"/>
      <c r="C253" s="35"/>
      <c r="D253" s="35"/>
      <c r="E253" s="35"/>
      <c r="F253" s="119"/>
      <c r="G253" s="37" t="s">
        <v>313</v>
      </c>
      <c r="H253" s="170"/>
      <c r="I253" s="170"/>
      <c r="J253" s="176" t="e">
        <f t="shared" si="52"/>
        <v>#DIV/0!</v>
      </c>
      <c r="K253" s="170"/>
      <c r="L253" s="170"/>
      <c r="M253" s="170"/>
      <c r="N253" s="170"/>
      <c r="O253" s="171"/>
      <c r="P253" s="170"/>
      <c r="Q253" s="170"/>
      <c r="R253" s="171"/>
      <c r="S253" s="171"/>
      <c r="T253" s="133"/>
      <c r="U253" s="54"/>
    </row>
    <row r="254" spans="1:21" s="7" customFormat="1" ht="63" customHeight="1" hidden="1">
      <c r="A254" s="50"/>
      <c r="C254" s="32"/>
      <c r="D254" s="32"/>
      <c r="E254" s="32"/>
      <c r="F254" s="115"/>
      <c r="G254" s="37" t="s">
        <v>336</v>
      </c>
      <c r="H254" s="166"/>
      <c r="I254" s="166"/>
      <c r="J254" s="176" t="e">
        <f t="shared" si="52"/>
        <v>#DIV/0!</v>
      </c>
      <c r="K254" s="166"/>
      <c r="L254" s="166"/>
      <c r="M254" s="166"/>
      <c r="N254" s="166"/>
      <c r="O254" s="167"/>
      <c r="P254" s="166"/>
      <c r="Q254" s="166"/>
      <c r="R254" s="167"/>
      <c r="S254" s="167"/>
      <c r="T254" s="129"/>
      <c r="U254" s="22"/>
    </row>
    <row r="255" spans="1:21" s="7" customFormat="1" ht="69.75" customHeight="1">
      <c r="A255" s="50">
        <v>6</v>
      </c>
      <c r="B255" s="7">
        <v>43</v>
      </c>
      <c r="C255" s="32" t="s">
        <v>108</v>
      </c>
      <c r="D255" s="32" t="s">
        <v>427</v>
      </c>
      <c r="E255" s="32" t="s">
        <v>426</v>
      </c>
      <c r="F255" s="115" t="s">
        <v>240</v>
      </c>
      <c r="G255" s="42" t="s">
        <v>186</v>
      </c>
      <c r="H255" s="194">
        <f>SUM(H256:H270)</f>
        <v>5517.2</v>
      </c>
      <c r="I255" s="194">
        <f>SUM(I256:I270)</f>
        <v>3231.3</v>
      </c>
      <c r="J255" s="176">
        <f t="shared" si="52"/>
        <v>58.567751758138186</v>
      </c>
      <c r="K255" s="194">
        <f>SUM(K256:K270)</f>
        <v>929</v>
      </c>
      <c r="L255" s="194">
        <f>SUM(L256:L270)</f>
        <v>0</v>
      </c>
      <c r="M255" s="194">
        <f>M265+M267+M268+M269+M270</f>
        <v>773</v>
      </c>
      <c r="N255" s="194">
        <f>N265+N267+N268+N269+N270</f>
        <v>773</v>
      </c>
      <c r="O255" s="195">
        <f>M255/K255*100</f>
        <v>83.20775026910655</v>
      </c>
      <c r="P255" s="194">
        <f>H255+K255</f>
        <v>6446.2</v>
      </c>
      <c r="Q255" s="194">
        <f>I255+M255</f>
        <v>4004.3</v>
      </c>
      <c r="R255" s="195">
        <f>Q255-P255</f>
        <v>-2441.8999999999996</v>
      </c>
      <c r="S255" s="195">
        <f>Q255/P255*100</f>
        <v>62.11876764605504</v>
      </c>
      <c r="T255" s="140">
        <f>SUM(T256:T270)</f>
        <v>1059.87</v>
      </c>
      <c r="U255" s="22"/>
    </row>
    <row r="256" spans="3:20" s="7" customFormat="1" ht="29.25" customHeight="1" hidden="1">
      <c r="C256" s="35" t="s">
        <v>108</v>
      </c>
      <c r="D256" s="35"/>
      <c r="E256" s="35"/>
      <c r="F256" s="119" t="s">
        <v>240</v>
      </c>
      <c r="G256" s="52" t="s">
        <v>179</v>
      </c>
      <c r="H256" s="166"/>
      <c r="I256" s="166"/>
      <c r="J256" s="176"/>
      <c r="K256" s="166"/>
      <c r="L256" s="166"/>
      <c r="M256" s="166"/>
      <c r="N256" s="166"/>
      <c r="O256" s="195"/>
      <c r="P256" s="194"/>
      <c r="Q256" s="194"/>
      <c r="R256" s="195"/>
      <c r="S256" s="195"/>
      <c r="T256" s="129"/>
    </row>
    <row r="257" spans="3:20" s="7" customFormat="1" ht="36.75" customHeight="1" hidden="1">
      <c r="C257" s="35" t="s">
        <v>108</v>
      </c>
      <c r="D257" s="35"/>
      <c r="E257" s="35"/>
      <c r="F257" s="119" t="s">
        <v>240</v>
      </c>
      <c r="G257" s="52" t="s">
        <v>179</v>
      </c>
      <c r="H257" s="166"/>
      <c r="I257" s="166"/>
      <c r="J257" s="176"/>
      <c r="K257" s="166"/>
      <c r="L257" s="166"/>
      <c r="M257" s="166"/>
      <c r="N257" s="166"/>
      <c r="O257" s="195"/>
      <c r="P257" s="194"/>
      <c r="Q257" s="194"/>
      <c r="R257" s="195"/>
      <c r="S257" s="195"/>
      <c r="T257" s="129"/>
    </row>
    <row r="258" spans="3:20" s="7" customFormat="1" ht="171" customHeight="1" hidden="1">
      <c r="C258" s="35" t="s">
        <v>108</v>
      </c>
      <c r="D258" s="35"/>
      <c r="E258" s="35"/>
      <c r="F258" s="119" t="s">
        <v>240</v>
      </c>
      <c r="G258" s="52" t="s">
        <v>179</v>
      </c>
      <c r="H258" s="166"/>
      <c r="I258" s="166"/>
      <c r="J258" s="176"/>
      <c r="K258" s="166"/>
      <c r="L258" s="166"/>
      <c r="M258" s="166"/>
      <c r="N258" s="166"/>
      <c r="O258" s="195"/>
      <c r="P258" s="194"/>
      <c r="Q258" s="194"/>
      <c r="R258" s="195"/>
      <c r="S258" s="195"/>
      <c r="T258" s="129"/>
    </row>
    <row r="259" spans="3:20" s="7" customFormat="1" ht="116.25" customHeight="1" hidden="1">
      <c r="C259" s="35" t="s">
        <v>108</v>
      </c>
      <c r="D259" s="35"/>
      <c r="E259" s="35"/>
      <c r="F259" s="119" t="s">
        <v>240</v>
      </c>
      <c r="G259" s="52" t="s">
        <v>179</v>
      </c>
      <c r="H259" s="166"/>
      <c r="I259" s="166"/>
      <c r="J259" s="176"/>
      <c r="K259" s="166"/>
      <c r="L259" s="166"/>
      <c r="M259" s="166"/>
      <c r="N259" s="166"/>
      <c r="O259" s="195"/>
      <c r="P259" s="194"/>
      <c r="Q259" s="194"/>
      <c r="R259" s="195"/>
      <c r="S259" s="195"/>
      <c r="T259" s="134"/>
    </row>
    <row r="260" spans="3:20" s="7" customFormat="1" ht="96.75" customHeight="1" hidden="1">
      <c r="C260" s="35" t="s">
        <v>108</v>
      </c>
      <c r="D260" s="35"/>
      <c r="E260" s="35"/>
      <c r="F260" s="119" t="s">
        <v>240</v>
      </c>
      <c r="G260" s="52" t="s">
        <v>179</v>
      </c>
      <c r="H260" s="166"/>
      <c r="I260" s="166"/>
      <c r="J260" s="176"/>
      <c r="K260" s="166"/>
      <c r="L260" s="166"/>
      <c r="M260" s="166"/>
      <c r="N260" s="166"/>
      <c r="O260" s="195"/>
      <c r="P260" s="194"/>
      <c r="Q260" s="194"/>
      <c r="R260" s="195"/>
      <c r="S260" s="195"/>
      <c r="T260" s="129"/>
    </row>
    <row r="261" spans="3:20" s="7" customFormat="1" ht="96.75" customHeight="1" hidden="1">
      <c r="C261" s="35" t="s">
        <v>108</v>
      </c>
      <c r="D261" s="35"/>
      <c r="E261" s="35"/>
      <c r="F261" s="119" t="s">
        <v>240</v>
      </c>
      <c r="G261" s="52" t="s">
        <v>179</v>
      </c>
      <c r="H261" s="166"/>
      <c r="I261" s="166"/>
      <c r="J261" s="176"/>
      <c r="K261" s="166"/>
      <c r="L261" s="166"/>
      <c r="M261" s="166"/>
      <c r="N261" s="166"/>
      <c r="O261" s="195"/>
      <c r="P261" s="194"/>
      <c r="Q261" s="194"/>
      <c r="R261" s="195"/>
      <c r="S261" s="195"/>
      <c r="T261" s="129"/>
    </row>
    <row r="262" spans="3:20" s="7" customFormat="1" ht="111" customHeight="1" hidden="1">
      <c r="C262" s="35" t="s">
        <v>108</v>
      </c>
      <c r="D262" s="35"/>
      <c r="E262" s="35"/>
      <c r="F262" s="119" t="s">
        <v>240</v>
      </c>
      <c r="G262" s="52" t="s">
        <v>179</v>
      </c>
      <c r="H262" s="166"/>
      <c r="I262" s="166"/>
      <c r="J262" s="176"/>
      <c r="K262" s="166"/>
      <c r="L262" s="166"/>
      <c r="M262" s="166"/>
      <c r="N262" s="166"/>
      <c r="O262" s="195"/>
      <c r="P262" s="194"/>
      <c r="Q262" s="194"/>
      <c r="R262" s="195"/>
      <c r="S262" s="195"/>
      <c r="T262" s="129"/>
    </row>
    <row r="263" spans="3:20" s="7" customFormat="1" ht="165" customHeight="1" hidden="1">
      <c r="C263" s="35" t="s">
        <v>108</v>
      </c>
      <c r="D263" s="35"/>
      <c r="E263" s="35"/>
      <c r="F263" s="119" t="s">
        <v>240</v>
      </c>
      <c r="G263" s="52" t="s">
        <v>179</v>
      </c>
      <c r="H263" s="166"/>
      <c r="I263" s="166"/>
      <c r="J263" s="176"/>
      <c r="K263" s="166"/>
      <c r="L263" s="166"/>
      <c r="M263" s="166"/>
      <c r="N263" s="166"/>
      <c r="O263" s="195"/>
      <c r="P263" s="194"/>
      <c r="Q263" s="194"/>
      <c r="R263" s="195"/>
      <c r="S263" s="195"/>
      <c r="T263" s="129"/>
    </row>
    <row r="264" spans="3:20" s="18" customFormat="1" ht="150.75" customHeight="1" hidden="1">
      <c r="C264" s="35" t="s">
        <v>108</v>
      </c>
      <c r="D264" s="35"/>
      <c r="E264" s="35"/>
      <c r="F264" s="119" t="s">
        <v>240</v>
      </c>
      <c r="G264" s="52" t="s">
        <v>179</v>
      </c>
      <c r="H264" s="166"/>
      <c r="I264" s="166"/>
      <c r="J264" s="176"/>
      <c r="K264" s="166"/>
      <c r="L264" s="166"/>
      <c r="M264" s="173"/>
      <c r="N264" s="173"/>
      <c r="O264" s="195"/>
      <c r="P264" s="194"/>
      <c r="Q264" s="194"/>
      <c r="R264" s="195"/>
      <c r="S264" s="195"/>
      <c r="T264" s="134"/>
    </row>
    <row r="265" spans="3:20" s="39" customFormat="1" ht="62.25" customHeight="1">
      <c r="C265" s="35"/>
      <c r="D265" s="35"/>
      <c r="E265" s="35"/>
      <c r="F265" s="119"/>
      <c r="G265" s="52" t="s">
        <v>670</v>
      </c>
      <c r="H265" s="170">
        <f>104.6+128.4</f>
        <v>233</v>
      </c>
      <c r="I265" s="170">
        <f>101.2</f>
        <v>101.2</v>
      </c>
      <c r="J265" s="176">
        <f t="shared" si="52"/>
        <v>43.433476394849784</v>
      </c>
      <c r="K265" s="170">
        <f>150+42</f>
        <v>192</v>
      </c>
      <c r="L265" s="170"/>
      <c r="M265" s="170">
        <v>42</v>
      </c>
      <c r="N265" s="170">
        <v>42</v>
      </c>
      <c r="O265" s="195">
        <f aca="true" t="shared" si="55" ref="O265:O270">M265/K265*100</f>
        <v>21.875</v>
      </c>
      <c r="P265" s="194">
        <f aca="true" t="shared" si="56" ref="P265:P270">H265+K265</f>
        <v>425</v>
      </c>
      <c r="Q265" s="194">
        <f aca="true" t="shared" si="57" ref="Q265:Q270">I265+M265</f>
        <v>143.2</v>
      </c>
      <c r="R265" s="195">
        <f aca="true" t="shared" si="58" ref="R265:R277">Q265-P265</f>
        <v>-281.8</v>
      </c>
      <c r="S265" s="195">
        <f aca="true" t="shared" si="59" ref="S265:S270">Q265/P265*100</f>
        <v>33.69411764705882</v>
      </c>
      <c r="T265" s="38">
        <f>42+150</f>
        <v>192</v>
      </c>
    </row>
    <row r="266" spans="3:20" s="39" customFormat="1" ht="81" customHeight="1" hidden="1">
      <c r="C266" s="35"/>
      <c r="D266" s="35"/>
      <c r="E266" s="35"/>
      <c r="F266" s="119"/>
      <c r="G266" s="52" t="s">
        <v>340</v>
      </c>
      <c r="H266" s="170"/>
      <c r="I266" s="170"/>
      <c r="J266" s="176" t="e">
        <f t="shared" si="52"/>
        <v>#DIV/0!</v>
      </c>
      <c r="K266" s="170"/>
      <c r="L266" s="170"/>
      <c r="M266" s="170"/>
      <c r="N266" s="170"/>
      <c r="O266" s="195" t="e">
        <f t="shared" si="55"/>
        <v>#DIV/0!</v>
      </c>
      <c r="P266" s="194">
        <f t="shared" si="56"/>
        <v>0</v>
      </c>
      <c r="Q266" s="194">
        <f t="shared" si="57"/>
        <v>0</v>
      </c>
      <c r="R266" s="195">
        <f t="shared" si="58"/>
        <v>0</v>
      </c>
      <c r="S266" s="195" t="e">
        <f t="shared" si="59"/>
        <v>#DIV/0!</v>
      </c>
      <c r="T266" s="133"/>
    </row>
    <row r="267" spans="3:20" s="39" customFormat="1" ht="78" customHeight="1">
      <c r="C267" s="35"/>
      <c r="D267" s="35"/>
      <c r="E267" s="35"/>
      <c r="F267" s="119"/>
      <c r="G267" s="52" t="s">
        <v>671</v>
      </c>
      <c r="H267" s="170"/>
      <c r="I267" s="170"/>
      <c r="J267" s="176"/>
      <c r="K267" s="170">
        <v>684.1</v>
      </c>
      <c r="L267" s="170"/>
      <c r="M267" s="170">
        <v>679.1</v>
      </c>
      <c r="N267" s="170">
        <v>679.1</v>
      </c>
      <c r="O267" s="195">
        <f t="shared" si="55"/>
        <v>99.26911270282123</v>
      </c>
      <c r="P267" s="194">
        <f t="shared" si="56"/>
        <v>684.1</v>
      </c>
      <c r="Q267" s="194">
        <f t="shared" si="57"/>
        <v>679.1</v>
      </c>
      <c r="R267" s="195">
        <f t="shared" si="58"/>
        <v>-5</v>
      </c>
      <c r="S267" s="195">
        <f t="shared" si="59"/>
        <v>99.26911270282123</v>
      </c>
      <c r="T267" s="38">
        <v>825</v>
      </c>
    </row>
    <row r="268" spans="3:20" s="39" customFormat="1" ht="62.25" customHeight="1">
      <c r="C268" s="35"/>
      <c r="D268" s="35"/>
      <c r="E268" s="35"/>
      <c r="F268" s="119"/>
      <c r="G268" s="52" t="s">
        <v>355</v>
      </c>
      <c r="H268" s="170">
        <f>644.9+4420</f>
        <v>5064.9</v>
      </c>
      <c r="I268" s="170">
        <f>582+2420</f>
        <v>3002</v>
      </c>
      <c r="J268" s="176">
        <f t="shared" si="52"/>
        <v>59.27066674564158</v>
      </c>
      <c r="K268" s="191"/>
      <c r="L268" s="191"/>
      <c r="M268" s="191"/>
      <c r="N268" s="191"/>
      <c r="O268" s="196" t="e">
        <f t="shared" si="55"/>
        <v>#DIV/0!</v>
      </c>
      <c r="P268" s="194">
        <f t="shared" si="56"/>
        <v>5064.9</v>
      </c>
      <c r="Q268" s="194">
        <f t="shared" si="57"/>
        <v>3002</v>
      </c>
      <c r="R268" s="195">
        <f t="shared" si="58"/>
        <v>-2062.8999999999996</v>
      </c>
      <c r="S268" s="195">
        <f t="shared" si="59"/>
        <v>59.27066674564158</v>
      </c>
      <c r="T268" s="133"/>
    </row>
    <row r="269" spans="3:20" s="39" customFormat="1" ht="60" customHeight="1">
      <c r="C269" s="35"/>
      <c r="D269" s="35"/>
      <c r="E269" s="35"/>
      <c r="F269" s="119"/>
      <c r="G269" s="52" t="s">
        <v>356</v>
      </c>
      <c r="H269" s="170">
        <v>9</v>
      </c>
      <c r="I269" s="170">
        <v>1.8</v>
      </c>
      <c r="J269" s="176">
        <f t="shared" si="52"/>
        <v>20</v>
      </c>
      <c r="K269" s="191"/>
      <c r="L269" s="191"/>
      <c r="M269" s="191"/>
      <c r="N269" s="191"/>
      <c r="O269" s="196" t="e">
        <f t="shared" si="55"/>
        <v>#DIV/0!</v>
      </c>
      <c r="P269" s="194">
        <f t="shared" si="56"/>
        <v>9</v>
      </c>
      <c r="Q269" s="194">
        <f t="shared" si="57"/>
        <v>1.8</v>
      </c>
      <c r="R269" s="195">
        <f t="shared" si="58"/>
        <v>-7.2</v>
      </c>
      <c r="S269" s="195">
        <f t="shared" si="59"/>
        <v>20</v>
      </c>
      <c r="T269" s="133"/>
    </row>
    <row r="270" spans="3:20" s="7" customFormat="1" ht="64.5" customHeight="1">
      <c r="C270" s="32"/>
      <c r="D270" s="32"/>
      <c r="E270" s="32"/>
      <c r="F270" s="119"/>
      <c r="G270" s="52" t="s">
        <v>667</v>
      </c>
      <c r="H270" s="166">
        <v>210.3</v>
      </c>
      <c r="I270" s="166">
        <v>126.3</v>
      </c>
      <c r="J270" s="176">
        <f t="shared" si="52"/>
        <v>60.05706134094151</v>
      </c>
      <c r="K270" s="166">
        <v>52.9</v>
      </c>
      <c r="L270" s="166"/>
      <c r="M270" s="166">
        <v>51.9</v>
      </c>
      <c r="N270" s="166">
        <v>51.9</v>
      </c>
      <c r="O270" s="195">
        <f t="shared" si="55"/>
        <v>98.10964083175804</v>
      </c>
      <c r="P270" s="194">
        <f t="shared" si="56"/>
        <v>263.2</v>
      </c>
      <c r="Q270" s="194">
        <f t="shared" si="57"/>
        <v>178.2</v>
      </c>
      <c r="R270" s="195">
        <f t="shared" si="58"/>
        <v>-85</v>
      </c>
      <c r="S270" s="195">
        <f t="shared" si="59"/>
        <v>67.70516717325228</v>
      </c>
      <c r="T270" s="38">
        <v>42.87</v>
      </c>
    </row>
    <row r="271" spans="3:20" s="7" customFormat="1" ht="143.25" customHeight="1" hidden="1">
      <c r="C271" s="32" t="s">
        <v>362</v>
      </c>
      <c r="D271" s="32"/>
      <c r="E271" s="32"/>
      <c r="F271" s="115" t="s">
        <v>342</v>
      </c>
      <c r="G271" s="42" t="s">
        <v>358</v>
      </c>
      <c r="H271" s="166"/>
      <c r="I271" s="166"/>
      <c r="J271" s="176" t="e">
        <f t="shared" si="52"/>
        <v>#DIV/0!</v>
      </c>
      <c r="K271" s="166"/>
      <c r="L271" s="166"/>
      <c r="M271" s="166"/>
      <c r="N271" s="166"/>
      <c r="O271" s="195" t="e">
        <f aca="true" t="shared" si="60" ref="O271:O276">M271/K271*100</f>
        <v>#DIV/0!</v>
      </c>
      <c r="P271" s="166"/>
      <c r="Q271" s="166"/>
      <c r="R271" s="195">
        <f t="shared" si="58"/>
        <v>0</v>
      </c>
      <c r="S271" s="195" t="e">
        <f aca="true" t="shared" si="61" ref="S271:S277">Q271/P271*100</f>
        <v>#DIV/0!</v>
      </c>
      <c r="T271" s="129"/>
    </row>
    <row r="272" spans="1:21" s="7" customFormat="1" ht="67.5" customHeight="1" hidden="1">
      <c r="A272" s="50"/>
      <c r="C272" s="32"/>
      <c r="D272" s="32"/>
      <c r="E272" s="32"/>
      <c r="F272" s="115"/>
      <c r="G272" s="45" t="s">
        <v>322</v>
      </c>
      <c r="H272" s="166"/>
      <c r="I272" s="166"/>
      <c r="J272" s="176" t="e">
        <f t="shared" si="52"/>
        <v>#DIV/0!</v>
      </c>
      <c r="K272" s="166"/>
      <c r="L272" s="166"/>
      <c r="M272" s="166"/>
      <c r="N272" s="166"/>
      <c r="O272" s="195" t="e">
        <f t="shared" si="60"/>
        <v>#DIV/0!</v>
      </c>
      <c r="P272" s="166"/>
      <c r="Q272" s="166"/>
      <c r="R272" s="195">
        <f t="shared" si="58"/>
        <v>0</v>
      </c>
      <c r="S272" s="195" t="e">
        <f t="shared" si="61"/>
        <v>#DIV/0!</v>
      </c>
      <c r="T272" s="129"/>
      <c r="U272" s="22"/>
    </row>
    <row r="273" spans="3:21" s="7" customFormat="1" ht="60" customHeight="1" hidden="1">
      <c r="C273" s="32" t="s">
        <v>691</v>
      </c>
      <c r="D273" s="32" t="s">
        <v>594</v>
      </c>
      <c r="E273" s="32" t="s">
        <v>593</v>
      </c>
      <c r="F273" s="119"/>
      <c r="G273" s="33" t="s">
        <v>693</v>
      </c>
      <c r="H273" s="168">
        <f>H274</f>
        <v>0</v>
      </c>
      <c r="I273" s="166">
        <f>SUM(I274)</f>
        <v>0</v>
      </c>
      <c r="J273" s="176" t="e">
        <f t="shared" si="52"/>
        <v>#DIV/0!</v>
      </c>
      <c r="K273" s="190"/>
      <c r="L273" s="190"/>
      <c r="M273" s="190"/>
      <c r="N273" s="190"/>
      <c r="O273" s="196" t="e">
        <f t="shared" si="60"/>
        <v>#DIV/0!</v>
      </c>
      <c r="P273" s="166">
        <f>H273+K273</f>
        <v>0</v>
      </c>
      <c r="Q273" s="166">
        <f>I273+K273</f>
        <v>0</v>
      </c>
      <c r="R273" s="195">
        <f t="shared" si="58"/>
        <v>0</v>
      </c>
      <c r="S273" s="195" t="e">
        <f t="shared" si="61"/>
        <v>#DIV/0!</v>
      </c>
      <c r="T273" s="129"/>
      <c r="U273" s="22"/>
    </row>
    <row r="274" spans="3:21" s="7" customFormat="1" ht="80.25" customHeight="1" hidden="1">
      <c r="C274" s="32"/>
      <c r="D274" s="32"/>
      <c r="E274" s="32"/>
      <c r="F274" s="119"/>
      <c r="G274" s="33" t="s">
        <v>692</v>
      </c>
      <c r="H274" s="177">
        <v>0</v>
      </c>
      <c r="I274" s="166">
        <v>0</v>
      </c>
      <c r="J274" s="176" t="e">
        <f t="shared" si="52"/>
        <v>#DIV/0!</v>
      </c>
      <c r="K274" s="190"/>
      <c r="L274" s="190"/>
      <c r="M274" s="190"/>
      <c r="N274" s="190"/>
      <c r="O274" s="196" t="e">
        <f t="shared" si="60"/>
        <v>#DIV/0!</v>
      </c>
      <c r="P274" s="166">
        <f>H274+K274</f>
        <v>0</v>
      </c>
      <c r="Q274" s="166">
        <f>I274+K274</f>
        <v>0</v>
      </c>
      <c r="R274" s="195">
        <f t="shared" si="58"/>
        <v>0</v>
      </c>
      <c r="S274" s="195" t="e">
        <f t="shared" si="61"/>
        <v>#DIV/0!</v>
      </c>
      <c r="T274" s="129"/>
      <c r="U274" s="22"/>
    </row>
    <row r="275" spans="3:21" s="7" customFormat="1" ht="48" customHeight="1">
      <c r="C275" s="32" t="s">
        <v>301</v>
      </c>
      <c r="D275" s="32" t="s">
        <v>457</v>
      </c>
      <c r="E275" s="32" t="s">
        <v>458</v>
      </c>
      <c r="F275" s="115" t="s">
        <v>3</v>
      </c>
      <c r="G275" s="33" t="s">
        <v>281</v>
      </c>
      <c r="H275" s="168">
        <f>I275+L275</f>
        <v>0</v>
      </c>
      <c r="I275" s="166"/>
      <c r="J275" s="176"/>
      <c r="K275" s="166">
        <f>K276</f>
        <v>127.292</v>
      </c>
      <c r="L275" s="166"/>
      <c r="M275" s="166">
        <f>M276</f>
        <v>127.292</v>
      </c>
      <c r="N275" s="166">
        <f>N276</f>
        <v>0</v>
      </c>
      <c r="O275" s="195">
        <f t="shared" si="60"/>
        <v>100</v>
      </c>
      <c r="P275" s="166">
        <f>H275+K275</f>
        <v>127.292</v>
      </c>
      <c r="Q275" s="166">
        <f>I275+M275</f>
        <v>127.292</v>
      </c>
      <c r="R275" s="195">
        <f t="shared" si="58"/>
        <v>0</v>
      </c>
      <c r="S275" s="195">
        <f t="shared" si="61"/>
        <v>100</v>
      </c>
      <c r="T275" s="129"/>
      <c r="U275" s="22"/>
    </row>
    <row r="276" spans="3:21" s="7" customFormat="1" ht="63" customHeight="1">
      <c r="C276" s="35" t="s">
        <v>302</v>
      </c>
      <c r="D276" s="35" t="s">
        <v>664</v>
      </c>
      <c r="E276" s="35" t="s">
        <v>458</v>
      </c>
      <c r="F276" s="119"/>
      <c r="G276" s="45" t="s">
        <v>665</v>
      </c>
      <c r="H276" s="177">
        <f>I276+L276</f>
        <v>0</v>
      </c>
      <c r="I276" s="166"/>
      <c r="J276" s="176"/>
      <c r="K276" s="166">
        <v>127.292</v>
      </c>
      <c r="L276" s="166"/>
      <c r="M276" s="166">
        <v>127.292</v>
      </c>
      <c r="N276" s="166">
        <v>0</v>
      </c>
      <c r="O276" s="195">
        <f t="shared" si="60"/>
        <v>100</v>
      </c>
      <c r="P276" s="166">
        <f>H276+K276</f>
        <v>127.292</v>
      </c>
      <c r="Q276" s="166">
        <f>I276+M276</f>
        <v>127.292</v>
      </c>
      <c r="R276" s="195">
        <f t="shared" si="58"/>
        <v>0</v>
      </c>
      <c r="S276" s="195">
        <f t="shared" si="61"/>
        <v>100</v>
      </c>
      <c r="T276" s="129"/>
      <c r="U276" s="22"/>
    </row>
    <row r="277" spans="3:22" s="50" customFormat="1" ht="45.75" customHeight="1">
      <c r="C277" s="30"/>
      <c r="D277" s="30"/>
      <c r="E277" s="30"/>
      <c r="F277" s="121"/>
      <c r="G277" s="31" t="s">
        <v>137</v>
      </c>
      <c r="H277" s="174">
        <f>H208+H214+H218+H226+H249+H244+H251+H255++H275+H243+H234+H213+H271+H209+H211+H273</f>
        <v>32811.399999999994</v>
      </c>
      <c r="I277" s="174">
        <f>I208+I214+I218+I226+I249+I244+I251+I255++I275+I243+I234+I213+I271+I209+I211+I273</f>
        <v>23644.7</v>
      </c>
      <c r="J277" s="176">
        <f t="shared" si="52"/>
        <v>72.06245390321658</v>
      </c>
      <c r="K277" s="174">
        <f>K208+K214+K218+K226+K249+K244+K251+K255++K275+K243+K234+K213+K271+K209+K211+K273</f>
        <v>42545.14200000001</v>
      </c>
      <c r="L277" s="174">
        <f>L208+L214+L218+L226+L249+L244+L251+L255++L275+L243+L234+L213+L271+L209+L211+L273</f>
        <v>0</v>
      </c>
      <c r="M277" s="174">
        <f>M208+M214+M218+M226+M249+M244+M251+M255++M275+M243+M234+M213+M271+M209+M211+M273</f>
        <v>16465.892</v>
      </c>
      <c r="N277" s="174">
        <f>N208+N214+N218+N226+N249+N244+N251+N255++N275+N243+N234+N213+N271+N209+N211+N273</f>
        <v>16338.6</v>
      </c>
      <c r="O277" s="195">
        <f>M277/K277*100</f>
        <v>38.70216721805747</v>
      </c>
      <c r="P277" s="174">
        <f>H277+K277</f>
        <v>75356.542</v>
      </c>
      <c r="Q277" s="174">
        <f>I277+M277</f>
        <v>40110.592000000004</v>
      </c>
      <c r="R277" s="175">
        <f t="shared" si="58"/>
        <v>-35245.95</v>
      </c>
      <c r="S277" s="175">
        <f t="shared" si="61"/>
        <v>53.22775028609992</v>
      </c>
      <c r="T277" s="63" t="e">
        <f>T208+T214+T218+#REF!+T226+T249+T244+T251+T255++T275+T243+T234+T213+T271+T209+T211+T273</f>
        <v>#REF!</v>
      </c>
      <c r="U277" s="22"/>
      <c r="V277" s="53"/>
    </row>
    <row r="278" spans="3:22" s="50" customFormat="1" ht="74.25" customHeight="1">
      <c r="C278" s="50">
        <v>6000000</v>
      </c>
      <c r="D278" s="30"/>
      <c r="E278" s="30"/>
      <c r="F278" s="121"/>
      <c r="G278" s="108" t="s">
        <v>408</v>
      </c>
      <c r="H278" s="174"/>
      <c r="I278" s="174"/>
      <c r="J278" s="176"/>
      <c r="K278" s="174"/>
      <c r="L278" s="174"/>
      <c r="M278" s="174"/>
      <c r="N278" s="174"/>
      <c r="O278" s="175"/>
      <c r="P278" s="174"/>
      <c r="Q278" s="174"/>
      <c r="R278" s="175"/>
      <c r="S278" s="175"/>
      <c r="T278" s="136"/>
      <c r="U278" s="53"/>
      <c r="V278" s="53"/>
    </row>
    <row r="279" spans="3:22" s="50" customFormat="1" ht="77.25" customHeight="1">
      <c r="C279" s="50">
        <v>6010000</v>
      </c>
      <c r="D279" s="30"/>
      <c r="E279" s="30"/>
      <c r="F279" s="121"/>
      <c r="G279" s="48" t="s">
        <v>407</v>
      </c>
      <c r="H279" s="174"/>
      <c r="I279" s="174"/>
      <c r="J279" s="176"/>
      <c r="K279" s="174"/>
      <c r="L279" s="174"/>
      <c r="M279" s="174"/>
      <c r="N279" s="174"/>
      <c r="O279" s="175"/>
      <c r="P279" s="174"/>
      <c r="Q279" s="174"/>
      <c r="R279" s="175"/>
      <c r="S279" s="175"/>
      <c r="T279" s="136"/>
      <c r="U279" s="53"/>
      <c r="V279" s="53"/>
    </row>
    <row r="280" spans="1:20" s="7" customFormat="1" ht="141" customHeight="1">
      <c r="A280" s="7">
        <v>8</v>
      </c>
      <c r="B280" s="7">
        <v>57</v>
      </c>
      <c r="C280" s="32" t="s">
        <v>357</v>
      </c>
      <c r="D280" s="32" t="s">
        <v>420</v>
      </c>
      <c r="E280" s="32" t="s">
        <v>421</v>
      </c>
      <c r="F280" s="115" t="s">
        <v>196</v>
      </c>
      <c r="G280" s="33" t="s">
        <v>605</v>
      </c>
      <c r="H280" s="168">
        <v>847.2</v>
      </c>
      <c r="I280" s="168">
        <v>716.5</v>
      </c>
      <c r="J280" s="176">
        <f t="shared" si="52"/>
        <v>84.57271010387157</v>
      </c>
      <c r="K280" s="168"/>
      <c r="L280" s="168"/>
      <c r="M280" s="173"/>
      <c r="N280" s="173"/>
      <c r="O280" s="176"/>
      <c r="P280" s="168">
        <f aca="true" t="shared" si="62" ref="P280:P285">H280+K280</f>
        <v>847.2</v>
      </c>
      <c r="Q280" s="168">
        <f aca="true" t="shared" si="63" ref="Q280:Q285">I280+M280</f>
        <v>716.5</v>
      </c>
      <c r="R280" s="176">
        <f aca="true" t="shared" si="64" ref="R280:R285">Q280-P280</f>
        <v>-130.70000000000005</v>
      </c>
      <c r="S280" s="176">
        <f aca="true" t="shared" si="65" ref="S280:S285">Q280/P280*100</f>
        <v>84.57271010387157</v>
      </c>
      <c r="T280" s="130"/>
    </row>
    <row r="281" spans="3:20" s="7" customFormat="1" ht="77.25" customHeight="1">
      <c r="C281" s="32" t="s">
        <v>672</v>
      </c>
      <c r="D281" s="32" t="s">
        <v>560</v>
      </c>
      <c r="E281" s="32" t="s">
        <v>557</v>
      </c>
      <c r="F281" s="115"/>
      <c r="G281" s="33" t="s">
        <v>654</v>
      </c>
      <c r="H281" s="168">
        <v>135.7</v>
      </c>
      <c r="I281" s="197">
        <v>70.8</v>
      </c>
      <c r="J281" s="176">
        <f t="shared" si="52"/>
        <v>52.17391304347826</v>
      </c>
      <c r="K281" s="168"/>
      <c r="L281" s="168"/>
      <c r="M281" s="173"/>
      <c r="N281" s="173"/>
      <c r="O281" s="176"/>
      <c r="P281" s="168">
        <f t="shared" si="62"/>
        <v>135.7</v>
      </c>
      <c r="Q281" s="168">
        <f t="shared" si="63"/>
        <v>70.8</v>
      </c>
      <c r="R281" s="176">
        <f t="shared" si="64"/>
        <v>-64.89999999999999</v>
      </c>
      <c r="S281" s="176">
        <f t="shared" si="65"/>
        <v>52.17391304347826</v>
      </c>
      <c r="T281" s="130"/>
    </row>
    <row r="282" spans="3:20" s="7" customFormat="1" ht="42" customHeight="1">
      <c r="C282" s="32" t="s">
        <v>615</v>
      </c>
      <c r="D282" s="32" t="s">
        <v>614</v>
      </c>
      <c r="E282" s="32" t="s">
        <v>653</v>
      </c>
      <c r="F282" s="115" t="s">
        <v>616</v>
      </c>
      <c r="G282" s="33" t="s">
        <v>630</v>
      </c>
      <c r="H282" s="168">
        <v>320</v>
      </c>
      <c r="I282" s="197">
        <v>9.3</v>
      </c>
      <c r="J282" s="176">
        <f t="shared" si="52"/>
        <v>2.90625</v>
      </c>
      <c r="K282" s="168"/>
      <c r="L282" s="168"/>
      <c r="M282" s="173"/>
      <c r="N282" s="173"/>
      <c r="O282" s="176"/>
      <c r="P282" s="168">
        <f t="shared" si="62"/>
        <v>320</v>
      </c>
      <c r="Q282" s="168">
        <f t="shared" si="63"/>
        <v>9.3</v>
      </c>
      <c r="R282" s="176">
        <f t="shared" si="64"/>
        <v>-310.7</v>
      </c>
      <c r="S282" s="176">
        <f t="shared" si="65"/>
        <v>2.90625</v>
      </c>
      <c r="T282" s="130"/>
    </row>
    <row r="283" spans="3:20" s="7" customFormat="1" ht="62.25" customHeight="1">
      <c r="C283" s="32" t="s">
        <v>587</v>
      </c>
      <c r="D283" s="32" t="s">
        <v>427</v>
      </c>
      <c r="E283" s="32" t="s">
        <v>426</v>
      </c>
      <c r="F283" s="115" t="s">
        <v>240</v>
      </c>
      <c r="G283" s="33" t="s">
        <v>631</v>
      </c>
      <c r="H283" s="168"/>
      <c r="I283" s="168"/>
      <c r="J283" s="176"/>
      <c r="K283" s="168">
        <v>500</v>
      </c>
      <c r="L283" s="168"/>
      <c r="M283" s="173">
        <v>0</v>
      </c>
      <c r="N283" s="173">
        <v>0</v>
      </c>
      <c r="O283" s="176"/>
      <c r="P283" s="168">
        <f t="shared" si="62"/>
        <v>500</v>
      </c>
      <c r="Q283" s="168">
        <f t="shared" si="63"/>
        <v>0</v>
      </c>
      <c r="R283" s="176">
        <f t="shared" si="64"/>
        <v>-500</v>
      </c>
      <c r="S283" s="176">
        <f t="shared" si="65"/>
        <v>0</v>
      </c>
      <c r="T283" s="34">
        <v>500</v>
      </c>
    </row>
    <row r="284" spans="1:21" s="7" customFormat="1" ht="51.75" customHeight="1">
      <c r="A284" s="50">
        <v>5</v>
      </c>
      <c r="B284" s="7">
        <v>44</v>
      </c>
      <c r="C284" s="32" t="s">
        <v>588</v>
      </c>
      <c r="D284" s="32" t="s">
        <v>585</v>
      </c>
      <c r="E284" s="32" t="s">
        <v>586</v>
      </c>
      <c r="F284" s="115" t="s">
        <v>248</v>
      </c>
      <c r="G284" s="33" t="s">
        <v>323</v>
      </c>
      <c r="H284" s="190"/>
      <c r="I284" s="190"/>
      <c r="J284" s="176"/>
      <c r="K284" s="166">
        <f>K285</f>
        <v>180.176</v>
      </c>
      <c r="L284" s="166">
        <f>L285</f>
        <v>0</v>
      </c>
      <c r="M284" s="166">
        <f>M285</f>
        <v>109.5</v>
      </c>
      <c r="N284" s="166"/>
      <c r="O284" s="167">
        <f>M284/K284*100</f>
        <v>60.77390995471096</v>
      </c>
      <c r="P284" s="168">
        <f t="shared" si="62"/>
        <v>180.176</v>
      </c>
      <c r="Q284" s="168">
        <f t="shared" si="63"/>
        <v>109.5</v>
      </c>
      <c r="R284" s="176">
        <f t="shared" si="64"/>
        <v>-70.67599999999999</v>
      </c>
      <c r="S284" s="176">
        <f t="shared" si="65"/>
        <v>60.77390995471096</v>
      </c>
      <c r="T284" s="14">
        <f>T285</f>
        <v>0</v>
      </c>
      <c r="U284" s="22"/>
    </row>
    <row r="285" spans="1:21" s="7" customFormat="1" ht="58.5" customHeight="1">
      <c r="A285" s="50"/>
      <c r="C285" s="32"/>
      <c r="D285" s="32"/>
      <c r="E285" s="32"/>
      <c r="F285" s="115"/>
      <c r="G285" s="45" t="s">
        <v>337</v>
      </c>
      <c r="H285" s="190"/>
      <c r="I285" s="190"/>
      <c r="J285" s="176"/>
      <c r="K285" s="166">
        <v>180.176</v>
      </c>
      <c r="L285" s="166"/>
      <c r="M285" s="166">
        <v>109.5</v>
      </c>
      <c r="N285" s="166"/>
      <c r="O285" s="167">
        <f>M285/K285*100</f>
        <v>60.77390995471096</v>
      </c>
      <c r="P285" s="168">
        <f t="shared" si="62"/>
        <v>180.176</v>
      </c>
      <c r="Q285" s="168">
        <f t="shared" si="63"/>
        <v>109.5</v>
      </c>
      <c r="R285" s="176">
        <f t="shared" si="64"/>
        <v>-70.67599999999999</v>
      </c>
      <c r="S285" s="176">
        <f t="shared" si="65"/>
        <v>60.77390995471096</v>
      </c>
      <c r="T285" s="129"/>
      <c r="U285" s="22"/>
    </row>
    <row r="286" spans="3:22" s="73" customFormat="1" ht="36.75" customHeight="1">
      <c r="C286" s="30"/>
      <c r="D286" s="30"/>
      <c r="E286" s="30"/>
      <c r="F286" s="121"/>
      <c r="G286" s="74" t="s">
        <v>137</v>
      </c>
      <c r="H286" s="174">
        <f aca="true" t="shared" si="66" ref="H286:T286">H280+H283+H284+H282+H281</f>
        <v>1302.9</v>
      </c>
      <c r="I286" s="174">
        <f t="shared" si="66"/>
        <v>796.5999999999999</v>
      </c>
      <c r="J286" s="176">
        <f t="shared" si="52"/>
        <v>61.14053265791695</v>
      </c>
      <c r="K286" s="174">
        <f t="shared" si="66"/>
        <v>680.1759999999999</v>
      </c>
      <c r="L286" s="174">
        <f t="shared" si="66"/>
        <v>0</v>
      </c>
      <c r="M286" s="174">
        <f t="shared" si="66"/>
        <v>109.5</v>
      </c>
      <c r="N286" s="174">
        <f t="shared" si="66"/>
        <v>0</v>
      </c>
      <c r="O286" s="167">
        <f>M286/K286*100</f>
        <v>16.09877443485216</v>
      </c>
      <c r="P286" s="174">
        <f t="shared" si="66"/>
        <v>1983.076</v>
      </c>
      <c r="Q286" s="174">
        <f t="shared" si="66"/>
        <v>906.0999999999999</v>
      </c>
      <c r="R286" s="175">
        <f t="shared" si="66"/>
        <v>-1076.976</v>
      </c>
      <c r="S286" s="175">
        <f t="shared" si="66"/>
        <v>200.42678310206077</v>
      </c>
      <c r="T286" s="63">
        <f t="shared" si="66"/>
        <v>500</v>
      </c>
      <c r="U286" s="75"/>
      <c r="V286" s="75"/>
    </row>
    <row r="287" spans="3:21" s="50" customFormat="1" ht="83.25" customHeight="1">
      <c r="C287" s="30" t="s">
        <v>169</v>
      </c>
      <c r="D287" s="30"/>
      <c r="E287" s="30"/>
      <c r="F287" s="121"/>
      <c r="G287" s="86" t="s">
        <v>625</v>
      </c>
      <c r="H287" s="174"/>
      <c r="I287" s="174"/>
      <c r="J287" s="176"/>
      <c r="K287" s="174"/>
      <c r="L287" s="174"/>
      <c r="M287" s="174"/>
      <c r="N287" s="174"/>
      <c r="O287" s="175"/>
      <c r="P287" s="174"/>
      <c r="Q287" s="174"/>
      <c r="R287" s="175"/>
      <c r="S287" s="175"/>
      <c r="T287" s="136"/>
      <c r="U287" s="53"/>
    </row>
    <row r="288" spans="3:21" s="7" customFormat="1" ht="76.5" customHeight="1">
      <c r="C288" s="151" t="s">
        <v>170</v>
      </c>
      <c r="D288" s="32"/>
      <c r="E288" s="32"/>
      <c r="F288" s="121"/>
      <c r="G288" s="48" t="s">
        <v>626</v>
      </c>
      <c r="H288" s="166"/>
      <c r="I288" s="166"/>
      <c r="J288" s="176"/>
      <c r="K288" s="166"/>
      <c r="L288" s="166"/>
      <c r="M288" s="166"/>
      <c r="N288" s="166"/>
      <c r="O288" s="167"/>
      <c r="P288" s="166"/>
      <c r="Q288" s="166"/>
      <c r="R288" s="167"/>
      <c r="S288" s="167"/>
      <c r="T288" s="129"/>
      <c r="U288" s="22"/>
    </row>
    <row r="289" spans="1:20" s="7" customFormat="1" ht="153" customHeight="1">
      <c r="A289" s="7">
        <v>8</v>
      </c>
      <c r="B289" s="7">
        <v>57</v>
      </c>
      <c r="C289" s="32" t="s">
        <v>307</v>
      </c>
      <c r="D289" s="32" t="s">
        <v>420</v>
      </c>
      <c r="E289" s="32" t="s">
        <v>421</v>
      </c>
      <c r="F289" s="115" t="s">
        <v>196</v>
      </c>
      <c r="G289" s="33" t="s">
        <v>627</v>
      </c>
      <c r="H289" s="168">
        <v>1338.2</v>
      </c>
      <c r="I289" s="168">
        <v>1167.6</v>
      </c>
      <c r="J289" s="176">
        <f t="shared" si="52"/>
        <v>87.25153190853383</v>
      </c>
      <c r="K289" s="168"/>
      <c r="L289" s="168"/>
      <c r="M289" s="173"/>
      <c r="N289" s="173"/>
      <c r="O289" s="176"/>
      <c r="P289" s="168">
        <f aca="true" t="shared" si="67" ref="P289:P299">H289+K289</f>
        <v>1338.2</v>
      </c>
      <c r="Q289" s="168">
        <f aca="true" t="shared" si="68" ref="Q289:Q299">I289+M289</f>
        <v>1167.6</v>
      </c>
      <c r="R289" s="176">
        <f aca="true" t="shared" si="69" ref="R289:R299">Q289-P289</f>
        <v>-170.60000000000014</v>
      </c>
      <c r="S289" s="176">
        <f>Q289/P289*100</f>
        <v>87.25153190853383</v>
      </c>
      <c r="T289" s="130"/>
    </row>
    <row r="290" spans="3:20" s="7" customFormat="1" ht="39.75" customHeight="1">
      <c r="C290" s="32" t="s">
        <v>145</v>
      </c>
      <c r="D290" s="32" t="s">
        <v>436</v>
      </c>
      <c r="E290" s="32" t="s">
        <v>458</v>
      </c>
      <c r="F290" s="33" t="s">
        <v>90</v>
      </c>
      <c r="G290" s="33" t="s">
        <v>675</v>
      </c>
      <c r="H290" s="166"/>
      <c r="I290" s="168">
        <f>I291</f>
        <v>0</v>
      </c>
      <c r="J290" s="176"/>
      <c r="K290" s="168">
        <f>K291</f>
        <v>203.624</v>
      </c>
      <c r="L290" s="168">
        <f>L291</f>
        <v>0</v>
      </c>
      <c r="M290" s="166">
        <f>M291</f>
        <v>74.5</v>
      </c>
      <c r="N290" s="166">
        <f>N291</f>
        <v>74.5</v>
      </c>
      <c r="O290" s="176">
        <f>O291</f>
        <v>36.587042784740504</v>
      </c>
      <c r="P290" s="168">
        <f t="shared" si="67"/>
        <v>203.624</v>
      </c>
      <c r="Q290" s="168">
        <f t="shared" si="68"/>
        <v>74.5</v>
      </c>
      <c r="R290" s="176">
        <f t="shared" si="69"/>
        <v>-129.124</v>
      </c>
      <c r="S290" s="176">
        <f>Q290/P290*100</f>
        <v>36.587042784740504</v>
      </c>
      <c r="T290" s="34">
        <f>T291</f>
        <v>203.624</v>
      </c>
    </row>
    <row r="291" spans="3:20" s="7" customFormat="1" ht="78" customHeight="1">
      <c r="C291" s="32" t="s">
        <v>146</v>
      </c>
      <c r="D291" s="32" t="s">
        <v>437</v>
      </c>
      <c r="E291" s="32" t="s">
        <v>458</v>
      </c>
      <c r="F291" s="55" t="s">
        <v>674</v>
      </c>
      <c r="G291" s="55" t="s">
        <v>655</v>
      </c>
      <c r="H291" s="166"/>
      <c r="I291" s="168"/>
      <c r="J291" s="176"/>
      <c r="K291" s="168">
        <v>203.624</v>
      </c>
      <c r="L291" s="168"/>
      <c r="M291" s="166">
        <v>74.5</v>
      </c>
      <c r="N291" s="166">
        <v>74.5</v>
      </c>
      <c r="O291" s="176">
        <f>M291/K291*100</f>
        <v>36.587042784740504</v>
      </c>
      <c r="P291" s="168">
        <f t="shared" si="67"/>
        <v>203.624</v>
      </c>
      <c r="Q291" s="168">
        <f t="shared" si="68"/>
        <v>74.5</v>
      </c>
      <c r="R291" s="176">
        <f t="shared" si="69"/>
        <v>-129.124</v>
      </c>
      <c r="S291" s="176">
        <f>Q291/P291*100</f>
        <v>36.587042784740504</v>
      </c>
      <c r="T291" s="34">
        <v>203.624</v>
      </c>
    </row>
    <row r="292" spans="2:20" s="7" customFormat="1" ht="30" customHeight="1">
      <c r="B292" s="87">
        <v>58</v>
      </c>
      <c r="C292" s="32" t="s">
        <v>171</v>
      </c>
      <c r="D292" s="32" t="s">
        <v>589</v>
      </c>
      <c r="E292" s="32" t="s">
        <v>590</v>
      </c>
      <c r="F292" s="115" t="s">
        <v>48</v>
      </c>
      <c r="G292" s="41" t="s">
        <v>91</v>
      </c>
      <c r="H292" s="166">
        <f>H293</f>
        <v>60</v>
      </c>
      <c r="I292" s="166">
        <f>I293</f>
        <v>20.8</v>
      </c>
      <c r="J292" s="176">
        <f t="shared" si="52"/>
        <v>34.66666666666667</v>
      </c>
      <c r="K292" s="166"/>
      <c r="L292" s="166"/>
      <c r="M292" s="166"/>
      <c r="N292" s="166"/>
      <c r="O292" s="176"/>
      <c r="P292" s="166">
        <f t="shared" si="67"/>
        <v>60</v>
      </c>
      <c r="Q292" s="166">
        <f t="shared" si="68"/>
        <v>20.8</v>
      </c>
      <c r="R292" s="167">
        <f t="shared" si="69"/>
        <v>-39.2</v>
      </c>
      <c r="S292" s="167">
        <f>Q292/P292*100</f>
        <v>34.66666666666667</v>
      </c>
      <c r="T292" s="129">
        <f>T293</f>
        <v>0</v>
      </c>
    </row>
    <row r="293" spans="3:20" s="39" customFormat="1" ht="87" customHeight="1">
      <c r="C293" s="35" t="s">
        <v>207</v>
      </c>
      <c r="D293" s="35" t="s">
        <v>591</v>
      </c>
      <c r="E293" s="35" t="s">
        <v>590</v>
      </c>
      <c r="F293" s="119" t="s">
        <v>48</v>
      </c>
      <c r="G293" s="55" t="s">
        <v>655</v>
      </c>
      <c r="H293" s="166">
        <v>60</v>
      </c>
      <c r="I293" s="170">
        <v>20.8</v>
      </c>
      <c r="J293" s="176">
        <f t="shared" si="52"/>
        <v>34.66666666666667</v>
      </c>
      <c r="K293" s="170"/>
      <c r="L293" s="170"/>
      <c r="M293" s="181"/>
      <c r="N293" s="181"/>
      <c r="O293" s="176"/>
      <c r="P293" s="166">
        <f t="shared" si="67"/>
        <v>60</v>
      </c>
      <c r="Q293" s="166">
        <f t="shared" si="68"/>
        <v>20.8</v>
      </c>
      <c r="R293" s="167">
        <f t="shared" si="69"/>
        <v>-39.2</v>
      </c>
      <c r="S293" s="167">
        <f>Q293/P293*100</f>
        <v>34.66666666666667</v>
      </c>
      <c r="T293" s="56"/>
    </row>
    <row r="294" spans="2:20" s="7" customFormat="1" ht="45" customHeight="1" hidden="1">
      <c r="B294" s="7">
        <v>62</v>
      </c>
      <c r="C294" s="32" t="s">
        <v>127</v>
      </c>
      <c r="D294" s="32"/>
      <c r="E294" s="32"/>
      <c r="F294" s="115" t="s">
        <v>256</v>
      </c>
      <c r="G294" s="41" t="s">
        <v>112</v>
      </c>
      <c r="H294" s="166"/>
      <c r="I294" s="166"/>
      <c r="J294" s="176" t="e">
        <f t="shared" si="52"/>
        <v>#DIV/0!</v>
      </c>
      <c r="K294" s="166"/>
      <c r="L294" s="166"/>
      <c r="M294" s="166"/>
      <c r="N294" s="166"/>
      <c r="O294" s="176" t="e">
        <f>M294/K294*100</f>
        <v>#DIV/0!</v>
      </c>
      <c r="P294" s="166">
        <f t="shared" si="67"/>
        <v>0</v>
      </c>
      <c r="Q294" s="166">
        <f t="shared" si="68"/>
        <v>0</v>
      </c>
      <c r="R294" s="167">
        <f t="shared" si="69"/>
        <v>0</v>
      </c>
      <c r="S294" s="167" t="e">
        <f aca="true" t="shared" si="70" ref="S294:S299">Q294/P294*100</f>
        <v>#DIV/0!</v>
      </c>
      <c r="T294" s="129"/>
    </row>
    <row r="295" spans="1:20" s="7" customFormat="1" ht="96" customHeight="1">
      <c r="A295" s="50">
        <v>2</v>
      </c>
      <c r="B295" s="7">
        <v>60</v>
      </c>
      <c r="C295" s="32" t="s">
        <v>128</v>
      </c>
      <c r="D295" s="32" t="s">
        <v>594</v>
      </c>
      <c r="E295" s="32" t="s">
        <v>593</v>
      </c>
      <c r="F295" s="115" t="s">
        <v>244</v>
      </c>
      <c r="G295" s="33" t="s">
        <v>111</v>
      </c>
      <c r="H295" s="166">
        <v>213.9</v>
      </c>
      <c r="I295" s="166">
        <v>208.1</v>
      </c>
      <c r="J295" s="176">
        <f t="shared" si="52"/>
        <v>97.28845254791958</v>
      </c>
      <c r="K295" s="166">
        <v>94.4</v>
      </c>
      <c r="L295" s="166"/>
      <c r="M295" s="173">
        <v>94.4</v>
      </c>
      <c r="N295" s="173">
        <v>94.4</v>
      </c>
      <c r="O295" s="176">
        <f>M295/K295*100</f>
        <v>100</v>
      </c>
      <c r="P295" s="166">
        <f t="shared" si="67"/>
        <v>308.3</v>
      </c>
      <c r="Q295" s="166">
        <f t="shared" si="68"/>
        <v>302.5</v>
      </c>
      <c r="R295" s="167">
        <f t="shared" si="69"/>
        <v>-5.800000000000011</v>
      </c>
      <c r="S295" s="167">
        <f t="shared" si="70"/>
        <v>98.11871553681478</v>
      </c>
      <c r="T295" s="14">
        <v>100</v>
      </c>
    </row>
    <row r="296" spans="1:20" s="7" customFormat="1" ht="66.75" customHeight="1" hidden="1">
      <c r="A296" s="50"/>
      <c r="C296" s="5" t="s">
        <v>286</v>
      </c>
      <c r="D296" s="5" t="s">
        <v>595</v>
      </c>
      <c r="E296" s="5" t="s">
        <v>596</v>
      </c>
      <c r="F296" s="115" t="s">
        <v>280</v>
      </c>
      <c r="G296" s="90" t="s">
        <v>289</v>
      </c>
      <c r="H296" s="166">
        <f>I296+L296</f>
        <v>0</v>
      </c>
      <c r="I296" s="166">
        <f>SUM(I297:I298)</f>
        <v>0</v>
      </c>
      <c r="J296" s="176" t="e">
        <f t="shared" si="52"/>
        <v>#DIV/0!</v>
      </c>
      <c r="K296" s="166"/>
      <c r="L296" s="166"/>
      <c r="M296" s="173"/>
      <c r="N296" s="173"/>
      <c r="O296" s="167"/>
      <c r="P296" s="166">
        <f t="shared" si="67"/>
        <v>0</v>
      </c>
      <c r="Q296" s="166">
        <f t="shared" si="68"/>
        <v>0</v>
      </c>
      <c r="R296" s="167">
        <f t="shared" si="69"/>
        <v>0</v>
      </c>
      <c r="S296" s="167" t="e">
        <f t="shared" si="70"/>
        <v>#DIV/0!</v>
      </c>
      <c r="T296" s="129"/>
    </row>
    <row r="297" spans="1:20" s="39" customFormat="1" ht="32.25" customHeight="1" hidden="1">
      <c r="A297" s="94"/>
      <c r="C297" s="36"/>
      <c r="D297" s="36"/>
      <c r="E297" s="36"/>
      <c r="F297" s="119"/>
      <c r="G297" s="95" t="s">
        <v>288</v>
      </c>
      <c r="H297" s="170">
        <f>I297+L297</f>
        <v>0</v>
      </c>
      <c r="I297" s="170"/>
      <c r="J297" s="176" t="e">
        <f t="shared" si="52"/>
        <v>#DIV/0!</v>
      </c>
      <c r="K297" s="170"/>
      <c r="L297" s="170"/>
      <c r="M297" s="181"/>
      <c r="N297" s="181"/>
      <c r="O297" s="171"/>
      <c r="P297" s="166">
        <f t="shared" si="67"/>
        <v>0</v>
      </c>
      <c r="Q297" s="166">
        <f t="shared" si="68"/>
        <v>0</v>
      </c>
      <c r="R297" s="167">
        <f t="shared" si="69"/>
        <v>0</v>
      </c>
      <c r="S297" s="167" t="e">
        <f t="shared" si="70"/>
        <v>#DIV/0!</v>
      </c>
      <c r="T297" s="133"/>
    </row>
    <row r="298" spans="1:20" s="39" customFormat="1" ht="76.5" customHeight="1" hidden="1">
      <c r="A298" s="94"/>
      <c r="C298" s="36"/>
      <c r="D298" s="36"/>
      <c r="E298" s="36"/>
      <c r="F298" s="119"/>
      <c r="G298" s="95" t="s">
        <v>292</v>
      </c>
      <c r="H298" s="170">
        <f>I298+L298</f>
        <v>0</v>
      </c>
      <c r="I298" s="170"/>
      <c r="J298" s="176" t="e">
        <f t="shared" si="52"/>
        <v>#DIV/0!</v>
      </c>
      <c r="K298" s="170"/>
      <c r="L298" s="170"/>
      <c r="M298" s="181"/>
      <c r="N298" s="181"/>
      <c r="O298" s="171"/>
      <c r="P298" s="166">
        <f t="shared" si="67"/>
        <v>0</v>
      </c>
      <c r="Q298" s="166">
        <f t="shared" si="68"/>
        <v>0</v>
      </c>
      <c r="R298" s="167">
        <f t="shared" si="69"/>
        <v>0</v>
      </c>
      <c r="S298" s="167" t="e">
        <f t="shared" si="70"/>
        <v>#DIV/0!</v>
      </c>
      <c r="T298" s="133"/>
    </row>
    <row r="299" spans="1:20" s="7" customFormat="1" ht="39" customHeight="1">
      <c r="A299" s="50">
        <v>3</v>
      </c>
      <c r="B299" s="7">
        <v>59</v>
      </c>
      <c r="C299" s="32" t="s">
        <v>270</v>
      </c>
      <c r="D299" s="32" t="s">
        <v>592</v>
      </c>
      <c r="E299" s="32" t="s">
        <v>593</v>
      </c>
      <c r="F299" s="115" t="s">
        <v>214</v>
      </c>
      <c r="G299" s="33" t="s">
        <v>314</v>
      </c>
      <c r="H299" s="166">
        <v>483.9</v>
      </c>
      <c r="I299" s="166">
        <v>361.4</v>
      </c>
      <c r="J299" s="176">
        <f t="shared" si="52"/>
        <v>74.6848522421988</v>
      </c>
      <c r="K299" s="166"/>
      <c r="L299" s="166"/>
      <c r="M299" s="173"/>
      <c r="N299" s="173"/>
      <c r="O299" s="167"/>
      <c r="P299" s="166">
        <f t="shared" si="67"/>
        <v>483.9</v>
      </c>
      <c r="Q299" s="166">
        <f t="shared" si="68"/>
        <v>361.4</v>
      </c>
      <c r="R299" s="167">
        <f t="shared" si="69"/>
        <v>-122.5</v>
      </c>
      <c r="S299" s="167">
        <f t="shared" si="70"/>
        <v>74.6848522421988</v>
      </c>
      <c r="T299" s="129"/>
    </row>
    <row r="300" spans="3:20" s="7" customFormat="1" ht="44.25" customHeight="1" hidden="1">
      <c r="C300" s="32" t="s">
        <v>597</v>
      </c>
      <c r="D300" s="32" t="s">
        <v>457</v>
      </c>
      <c r="E300" s="32" t="s">
        <v>458</v>
      </c>
      <c r="F300" s="115" t="s">
        <v>3</v>
      </c>
      <c r="G300" s="42" t="s">
        <v>387</v>
      </c>
      <c r="H300" s="166"/>
      <c r="I300" s="166">
        <f>SUM(I301:I302)</f>
        <v>0</v>
      </c>
      <c r="J300" s="176" t="e">
        <f t="shared" si="52"/>
        <v>#DIV/0!</v>
      </c>
      <c r="K300" s="166">
        <f aca="true" t="shared" si="71" ref="K300:T300">SUM(K301:K302)</f>
        <v>0</v>
      </c>
      <c r="L300" s="166">
        <f t="shared" si="71"/>
        <v>0</v>
      </c>
      <c r="M300" s="166">
        <f t="shared" si="71"/>
        <v>0</v>
      </c>
      <c r="N300" s="166"/>
      <c r="O300" s="167">
        <f t="shared" si="71"/>
        <v>0</v>
      </c>
      <c r="P300" s="166">
        <f t="shared" si="71"/>
        <v>0</v>
      </c>
      <c r="Q300" s="166">
        <f t="shared" si="71"/>
        <v>0</v>
      </c>
      <c r="R300" s="167">
        <f t="shared" si="71"/>
        <v>0</v>
      </c>
      <c r="S300" s="167">
        <f t="shared" si="71"/>
        <v>0</v>
      </c>
      <c r="T300" s="129">
        <f t="shared" si="71"/>
        <v>0</v>
      </c>
    </row>
    <row r="301" spans="3:20" s="39" customFormat="1" ht="39" customHeight="1" hidden="1">
      <c r="C301" s="35"/>
      <c r="D301" s="35"/>
      <c r="E301" s="35"/>
      <c r="F301" s="119"/>
      <c r="G301" s="52" t="s">
        <v>38</v>
      </c>
      <c r="H301" s="170"/>
      <c r="I301" s="170"/>
      <c r="J301" s="176" t="e">
        <f t="shared" si="52"/>
        <v>#DIV/0!</v>
      </c>
      <c r="K301" s="170"/>
      <c r="L301" s="170"/>
      <c r="M301" s="181"/>
      <c r="N301" s="181"/>
      <c r="O301" s="171"/>
      <c r="P301" s="170"/>
      <c r="Q301" s="170"/>
      <c r="R301" s="171"/>
      <c r="S301" s="171"/>
      <c r="T301" s="133"/>
    </row>
    <row r="302" spans="3:20" s="39" customFormat="1" ht="86.25" customHeight="1" hidden="1">
      <c r="C302" s="35"/>
      <c r="D302" s="35"/>
      <c r="E302" s="35"/>
      <c r="F302" s="119"/>
      <c r="G302" s="52" t="s">
        <v>388</v>
      </c>
      <c r="H302" s="170"/>
      <c r="I302" s="170"/>
      <c r="J302" s="176" t="e">
        <f t="shared" si="52"/>
        <v>#DIV/0!</v>
      </c>
      <c r="K302" s="170"/>
      <c r="L302" s="170"/>
      <c r="M302" s="181"/>
      <c r="N302" s="181"/>
      <c r="O302" s="198"/>
      <c r="P302" s="177"/>
      <c r="Q302" s="177"/>
      <c r="R302" s="198"/>
      <c r="S302" s="198"/>
      <c r="T302" s="137"/>
    </row>
    <row r="303" spans="1:20" s="7" customFormat="1" ht="29.25" customHeight="1" hidden="1">
      <c r="A303" s="50">
        <v>1</v>
      </c>
      <c r="B303" s="7">
        <v>61</v>
      </c>
      <c r="C303" s="32" t="s">
        <v>145</v>
      </c>
      <c r="D303" s="32"/>
      <c r="E303" s="32"/>
      <c r="F303" s="115" t="s">
        <v>197</v>
      </c>
      <c r="G303" s="43" t="s">
        <v>90</v>
      </c>
      <c r="H303" s="166">
        <f>H304+H305</f>
        <v>0</v>
      </c>
      <c r="I303" s="166">
        <f>I304+I305</f>
        <v>0</v>
      </c>
      <c r="J303" s="176" t="e">
        <f aca="true" t="shared" si="72" ref="J303:J329">I303/H303*100</f>
        <v>#DIV/0!</v>
      </c>
      <c r="K303" s="166">
        <f aca="true" t="shared" si="73" ref="K303:T303">K304+K305</f>
        <v>0</v>
      </c>
      <c r="L303" s="166"/>
      <c r="M303" s="166">
        <f t="shared" si="73"/>
        <v>0</v>
      </c>
      <c r="N303" s="166"/>
      <c r="O303" s="167">
        <f t="shared" si="73"/>
        <v>0</v>
      </c>
      <c r="P303" s="166">
        <f t="shared" si="73"/>
        <v>0</v>
      </c>
      <c r="Q303" s="166">
        <f t="shared" si="73"/>
        <v>0</v>
      </c>
      <c r="R303" s="167">
        <f t="shared" si="73"/>
        <v>0</v>
      </c>
      <c r="S303" s="167">
        <f t="shared" si="73"/>
        <v>0</v>
      </c>
      <c r="T303" s="129">
        <f t="shared" si="73"/>
        <v>0</v>
      </c>
    </row>
    <row r="304" spans="3:20" s="39" customFormat="1" ht="16.5" customHeight="1" hidden="1">
      <c r="C304" s="32" t="s">
        <v>146</v>
      </c>
      <c r="D304" s="32"/>
      <c r="E304" s="32"/>
      <c r="F304" s="119"/>
      <c r="G304" s="37" t="s">
        <v>37</v>
      </c>
      <c r="H304" s="170">
        <f>40-35-5</f>
        <v>0</v>
      </c>
      <c r="I304" s="170"/>
      <c r="J304" s="176" t="e">
        <f t="shared" si="72"/>
        <v>#DIV/0!</v>
      </c>
      <c r="K304" s="170"/>
      <c r="L304" s="170"/>
      <c r="M304" s="181"/>
      <c r="N304" s="181"/>
      <c r="O304" s="171"/>
      <c r="P304" s="170"/>
      <c r="Q304" s="170"/>
      <c r="R304" s="171"/>
      <c r="S304" s="171"/>
      <c r="T304" s="133"/>
    </row>
    <row r="305" spans="3:20" s="39" customFormat="1" ht="39" customHeight="1" hidden="1">
      <c r="C305" s="35" t="s">
        <v>146</v>
      </c>
      <c r="D305" s="35"/>
      <c r="E305" s="35"/>
      <c r="F305" s="119"/>
      <c r="G305" s="37" t="s">
        <v>38</v>
      </c>
      <c r="H305" s="170"/>
      <c r="I305" s="170"/>
      <c r="J305" s="176" t="e">
        <f t="shared" si="72"/>
        <v>#DIV/0!</v>
      </c>
      <c r="K305" s="170"/>
      <c r="L305" s="170"/>
      <c r="M305" s="181"/>
      <c r="N305" s="181"/>
      <c r="O305" s="171"/>
      <c r="P305" s="170"/>
      <c r="Q305" s="170"/>
      <c r="R305" s="171"/>
      <c r="S305" s="171"/>
      <c r="T305" s="133"/>
    </row>
    <row r="306" spans="1:20" s="7" customFormat="1" ht="90.75" customHeight="1" hidden="1">
      <c r="A306" s="7">
        <v>4</v>
      </c>
      <c r="B306" s="7">
        <v>65</v>
      </c>
      <c r="C306" s="32" t="s">
        <v>361</v>
      </c>
      <c r="D306" s="32"/>
      <c r="E306" s="32"/>
      <c r="F306" s="115" t="s">
        <v>277</v>
      </c>
      <c r="G306" s="41" t="s">
        <v>360</v>
      </c>
      <c r="H306" s="166">
        <f>SUM(H307:H309)</f>
        <v>0</v>
      </c>
      <c r="I306" s="166">
        <f>SUM(I307:I309)</f>
        <v>0</v>
      </c>
      <c r="J306" s="176" t="e">
        <f t="shared" si="72"/>
        <v>#DIV/0!</v>
      </c>
      <c r="K306" s="166">
        <f aca="true" t="shared" si="74" ref="K306:T306">SUM(K307:K309)</f>
        <v>0</v>
      </c>
      <c r="L306" s="166"/>
      <c r="M306" s="166">
        <f t="shared" si="74"/>
        <v>0</v>
      </c>
      <c r="N306" s="166"/>
      <c r="O306" s="167">
        <f t="shared" si="74"/>
        <v>0</v>
      </c>
      <c r="P306" s="166">
        <f t="shared" si="74"/>
        <v>0</v>
      </c>
      <c r="Q306" s="166">
        <f t="shared" si="74"/>
        <v>0</v>
      </c>
      <c r="R306" s="167">
        <f t="shared" si="74"/>
        <v>0</v>
      </c>
      <c r="S306" s="167">
        <f t="shared" si="74"/>
        <v>0</v>
      </c>
      <c r="T306" s="129">
        <f t="shared" si="74"/>
        <v>0</v>
      </c>
    </row>
    <row r="307" spans="2:20" s="19" customFormat="1" ht="60" customHeight="1" hidden="1">
      <c r="B307" s="39"/>
      <c r="C307" s="35"/>
      <c r="D307" s="35"/>
      <c r="E307" s="35"/>
      <c r="F307" s="119"/>
      <c r="G307" s="55" t="s">
        <v>359</v>
      </c>
      <c r="H307" s="166"/>
      <c r="I307" s="166"/>
      <c r="J307" s="176" t="e">
        <f t="shared" si="72"/>
        <v>#DIV/0!</v>
      </c>
      <c r="K307" s="170"/>
      <c r="L307" s="170"/>
      <c r="M307" s="181"/>
      <c r="N307" s="181"/>
      <c r="O307" s="171"/>
      <c r="P307" s="170"/>
      <c r="Q307" s="170"/>
      <c r="R307" s="171"/>
      <c r="S307" s="171"/>
      <c r="T307" s="133"/>
    </row>
    <row r="308" spans="2:20" s="19" customFormat="1" ht="78" customHeight="1" hidden="1">
      <c r="B308" s="39"/>
      <c r="C308" s="35"/>
      <c r="D308" s="35"/>
      <c r="E308" s="35"/>
      <c r="F308" s="119"/>
      <c r="G308" s="55" t="s">
        <v>383</v>
      </c>
      <c r="H308" s="166"/>
      <c r="I308" s="166"/>
      <c r="J308" s="176" t="e">
        <f t="shared" si="72"/>
        <v>#DIV/0!</v>
      </c>
      <c r="K308" s="170"/>
      <c r="L308" s="170"/>
      <c r="M308" s="181"/>
      <c r="N308" s="181"/>
      <c r="O308" s="171"/>
      <c r="P308" s="170"/>
      <c r="Q308" s="170"/>
      <c r="R308" s="171"/>
      <c r="S308" s="171"/>
      <c r="T308" s="133"/>
    </row>
    <row r="309" spans="3:20" s="19" customFormat="1" ht="72.75" customHeight="1" hidden="1">
      <c r="C309" s="35"/>
      <c r="D309" s="35"/>
      <c r="E309" s="35"/>
      <c r="F309" s="119" t="s">
        <v>181</v>
      </c>
      <c r="G309" s="55" t="s">
        <v>42</v>
      </c>
      <c r="H309" s="170"/>
      <c r="I309" s="170"/>
      <c r="J309" s="176" t="e">
        <f t="shared" si="72"/>
        <v>#DIV/0!</v>
      </c>
      <c r="K309" s="170"/>
      <c r="L309" s="170"/>
      <c r="M309" s="181"/>
      <c r="N309" s="181"/>
      <c r="O309" s="171"/>
      <c r="P309" s="170"/>
      <c r="Q309" s="170"/>
      <c r="R309" s="171"/>
      <c r="S309" s="171"/>
      <c r="T309" s="133"/>
    </row>
    <row r="310" spans="3:22" s="73" customFormat="1" ht="27.75" customHeight="1">
      <c r="C310" s="30"/>
      <c r="D310" s="30"/>
      <c r="E310" s="30"/>
      <c r="F310" s="121"/>
      <c r="G310" s="74" t="s">
        <v>137</v>
      </c>
      <c r="H310" s="174">
        <f>H289+H292+H299+H295+H296+H303+H306+H300+H290</f>
        <v>2096</v>
      </c>
      <c r="I310" s="174">
        <f aca="true" t="shared" si="75" ref="I310:T310">I289+I292+I299+I295+I296+I303+I306+I300+I290</f>
        <v>1757.8999999999996</v>
      </c>
      <c r="J310" s="176">
        <f t="shared" si="72"/>
        <v>83.86927480916029</v>
      </c>
      <c r="K310" s="174">
        <f t="shared" si="75"/>
        <v>298.024</v>
      </c>
      <c r="L310" s="174">
        <f t="shared" si="75"/>
        <v>0</v>
      </c>
      <c r="M310" s="174">
        <f t="shared" si="75"/>
        <v>168.9</v>
      </c>
      <c r="N310" s="174">
        <f t="shared" si="75"/>
        <v>168.9</v>
      </c>
      <c r="O310" s="175">
        <f t="shared" si="75"/>
        <v>136.5870427847405</v>
      </c>
      <c r="P310" s="174">
        <f t="shared" si="75"/>
        <v>2394.024</v>
      </c>
      <c r="Q310" s="174">
        <f t="shared" si="75"/>
        <v>1926.7999999999997</v>
      </c>
      <c r="R310" s="175">
        <f t="shared" si="75"/>
        <v>-467.22400000000016</v>
      </c>
      <c r="S310" s="175">
        <f>Q310/P310*100</f>
        <v>80.48373784055632</v>
      </c>
      <c r="T310" s="63">
        <f t="shared" si="75"/>
        <v>303.624</v>
      </c>
      <c r="U310" s="75"/>
      <c r="V310" s="75"/>
    </row>
    <row r="311" spans="3:21" s="50" customFormat="1" ht="48.75" customHeight="1">
      <c r="C311" s="30" t="s">
        <v>163</v>
      </c>
      <c r="D311" s="30"/>
      <c r="E311" s="30"/>
      <c r="F311" s="121"/>
      <c r="G311" s="86" t="s">
        <v>403</v>
      </c>
      <c r="H311" s="174"/>
      <c r="I311" s="174"/>
      <c r="J311" s="176"/>
      <c r="K311" s="174"/>
      <c r="L311" s="174"/>
      <c r="M311" s="174"/>
      <c r="N311" s="174"/>
      <c r="O311" s="175"/>
      <c r="P311" s="174"/>
      <c r="Q311" s="174"/>
      <c r="R311" s="175"/>
      <c r="S311" s="175"/>
      <c r="T311" s="136"/>
      <c r="U311" s="53"/>
    </row>
    <row r="312" spans="3:21" s="7" customFormat="1" ht="45.75" customHeight="1">
      <c r="C312" s="151" t="s">
        <v>164</v>
      </c>
      <c r="D312" s="32"/>
      <c r="E312" s="32"/>
      <c r="F312" s="115"/>
      <c r="G312" s="43" t="s">
        <v>404</v>
      </c>
      <c r="H312" s="166"/>
      <c r="I312" s="166"/>
      <c r="J312" s="176"/>
      <c r="K312" s="166"/>
      <c r="L312" s="166"/>
      <c r="M312" s="166"/>
      <c r="N312" s="166"/>
      <c r="O312" s="167"/>
      <c r="P312" s="166"/>
      <c r="Q312" s="166"/>
      <c r="R312" s="167"/>
      <c r="S312" s="167"/>
      <c r="T312" s="129"/>
      <c r="U312" s="22"/>
    </row>
    <row r="313" spans="1:20" s="7" customFormat="1" ht="87.75" customHeight="1">
      <c r="A313" s="7">
        <v>6</v>
      </c>
      <c r="B313" s="7">
        <v>45</v>
      </c>
      <c r="C313" s="32" t="s">
        <v>303</v>
      </c>
      <c r="D313" s="32" t="s">
        <v>420</v>
      </c>
      <c r="E313" s="32" t="s">
        <v>421</v>
      </c>
      <c r="F313" s="115" t="s">
        <v>196</v>
      </c>
      <c r="G313" s="33" t="s">
        <v>606</v>
      </c>
      <c r="H313" s="166">
        <v>5222.6</v>
      </c>
      <c r="I313" s="166">
        <v>1949.2</v>
      </c>
      <c r="J313" s="176">
        <f t="shared" si="72"/>
        <v>37.32240646421322</v>
      </c>
      <c r="K313" s="166"/>
      <c r="L313" s="168"/>
      <c r="M313" s="166"/>
      <c r="N313" s="166"/>
      <c r="O313" s="176"/>
      <c r="P313" s="168">
        <f aca="true" t="shared" si="76" ref="P313:P318">H313+K313</f>
        <v>5222.6</v>
      </c>
      <c r="Q313" s="168">
        <f aca="true" t="shared" si="77" ref="Q313:Q318">I313+N313</f>
        <v>1949.2</v>
      </c>
      <c r="R313" s="176">
        <f aca="true" t="shared" si="78" ref="R313:R318">Q313-P313</f>
        <v>-3273.4000000000005</v>
      </c>
      <c r="S313" s="176">
        <f aca="true" t="shared" si="79" ref="S313:S318">Q313/P313*100</f>
        <v>37.32240646421322</v>
      </c>
      <c r="T313" s="130"/>
    </row>
    <row r="314" spans="3:20" s="7" customFormat="1" ht="265.5" customHeight="1" hidden="1">
      <c r="C314" s="32" t="s">
        <v>33</v>
      </c>
      <c r="D314" s="32"/>
      <c r="E314" s="32"/>
      <c r="F314" s="115" t="s">
        <v>32</v>
      </c>
      <c r="G314" s="33" t="s">
        <v>287</v>
      </c>
      <c r="H314" s="166"/>
      <c r="I314" s="166"/>
      <c r="J314" s="176" t="e">
        <f t="shared" si="72"/>
        <v>#DIV/0!</v>
      </c>
      <c r="K314" s="166"/>
      <c r="L314" s="168"/>
      <c r="M314" s="166"/>
      <c r="N314" s="166"/>
      <c r="O314" s="176"/>
      <c r="P314" s="168">
        <f t="shared" si="76"/>
        <v>0</v>
      </c>
      <c r="Q314" s="168">
        <f t="shared" si="77"/>
        <v>0</v>
      </c>
      <c r="R314" s="176">
        <f t="shared" si="78"/>
        <v>0</v>
      </c>
      <c r="S314" s="176" t="e">
        <f t="shared" si="79"/>
        <v>#DIV/0!</v>
      </c>
      <c r="T314" s="130"/>
    </row>
    <row r="315" spans="3:20" s="7" customFormat="1" ht="108" customHeight="1" hidden="1">
      <c r="C315" s="32" t="s">
        <v>30</v>
      </c>
      <c r="D315" s="32" t="s">
        <v>425</v>
      </c>
      <c r="E315" s="32" t="s">
        <v>426</v>
      </c>
      <c r="F315" s="115" t="s">
        <v>215</v>
      </c>
      <c r="G315" s="33" t="s">
        <v>598</v>
      </c>
      <c r="H315" s="166"/>
      <c r="I315" s="166"/>
      <c r="J315" s="176" t="e">
        <f t="shared" si="72"/>
        <v>#DIV/0!</v>
      </c>
      <c r="K315" s="166"/>
      <c r="L315" s="168"/>
      <c r="M315" s="166"/>
      <c r="N315" s="166"/>
      <c r="O315" s="176"/>
      <c r="P315" s="168">
        <f t="shared" si="76"/>
        <v>0</v>
      </c>
      <c r="Q315" s="168">
        <f t="shared" si="77"/>
        <v>0</v>
      </c>
      <c r="R315" s="176">
        <f t="shared" si="78"/>
        <v>0</v>
      </c>
      <c r="S315" s="176" t="e">
        <f t="shared" si="79"/>
        <v>#DIV/0!</v>
      </c>
      <c r="T315" s="34"/>
    </row>
    <row r="316" spans="3:20" s="7" customFormat="1" ht="262.5">
      <c r="C316" s="32" t="s">
        <v>33</v>
      </c>
      <c r="D316" s="32" t="s">
        <v>724</v>
      </c>
      <c r="E316" s="32" t="s">
        <v>725</v>
      </c>
      <c r="F316" s="115" t="s">
        <v>32</v>
      </c>
      <c r="G316" s="33" t="s">
        <v>726</v>
      </c>
      <c r="H316" s="220">
        <v>22653.7</v>
      </c>
      <c r="I316" s="166">
        <v>0</v>
      </c>
      <c r="J316" s="176"/>
      <c r="K316" s="166"/>
      <c r="L316" s="168"/>
      <c r="M316" s="166"/>
      <c r="N316" s="166"/>
      <c r="O316" s="176"/>
      <c r="P316" s="168">
        <f t="shared" si="76"/>
        <v>22653.7</v>
      </c>
      <c r="Q316" s="168">
        <f t="shared" si="77"/>
        <v>0</v>
      </c>
      <c r="R316" s="176">
        <f t="shared" si="78"/>
        <v>-22653.7</v>
      </c>
      <c r="S316" s="176">
        <f t="shared" si="79"/>
        <v>0</v>
      </c>
      <c r="T316" s="34"/>
    </row>
    <row r="317" spans="1:20" s="18" customFormat="1" ht="33" customHeight="1">
      <c r="A317" s="18">
        <v>2</v>
      </c>
      <c r="B317" s="7">
        <v>46</v>
      </c>
      <c r="C317" s="32" t="s">
        <v>82</v>
      </c>
      <c r="D317" s="32" t="s">
        <v>564</v>
      </c>
      <c r="E317" s="32" t="s">
        <v>458</v>
      </c>
      <c r="F317" s="115" t="s">
        <v>8</v>
      </c>
      <c r="G317" s="33" t="s">
        <v>9</v>
      </c>
      <c r="H317" s="166">
        <v>10</v>
      </c>
      <c r="I317" s="166">
        <v>0</v>
      </c>
      <c r="J317" s="176">
        <f t="shared" si="72"/>
        <v>0</v>
      </c>
      <c r="K317" s="166"/>
      <c r="L317" s="168"/>
      <c r="M317" s="166"/>
      <c r="N317" s="166"/>
      <c r="O317" s="176"/>
      <c r="P317" s="168">
        <f t="shared" si="76"/>
        <v>10</v>
      </c>
      <c r="Q317" s="168">
        <f t="shared" si="77"/>
        <v>0</v>
      </c>
      <c r="R317" s="176">
        <f t="shared" si="78"/>
        <v>-10</v>
      </c>
      <c r="S317" s="176">
        <f t="shared" si="79"/>
        <v>0</v>
      </c>
      <c r="T317" s="130"/>
    </row>
    <row r="318" spans="1:20" s="7" customFormat="1" ht="34.5" customHeight="1">
      <c r="A318" s="50">
        <v>4</v>
      </c>
      <c r="B318" s="7">
        <v>46</v>
      </c>
      <c r="C318" s="5" t="s">
        <v>266</v>
      </c>
      <c r="D318" s="5" t="s">
        <v>565</v>
      </c>
      <c r="E318" s="5" t="s">
        <v>420</v>
      </c>
      <c r="F318" s="115" t="s">
        <v>217</v>
      </c>
      <c r="G318" s="33" t="s">
        <v>272</v>
      </c>
      <c r="H318" s="166">
        <v>30794.9</v>
      </c>
      <c r="I318" s="166">
        <v>23096.3</v>
      </c>
      <c r="J318" s="176">
        <f t="shared" si="72"/>
        <v>75.00040591136845</v>
      </c>
      <c r="K318" s="166"/>
      <c r="L318" s="166"/>
      <c r="M318" s="166"/>
      <c r="N318" s="166"/>
      <c r="O318" s="169"/>
      <c r="P318" s="168">
        <f t="shared" si="76"/>
        <v>30794.9</v>
      </c>
      <c r="Q318" s="168">
        <f t="shared" si="77"/>
        <v>23096.3</v>
      </c>
      <c r="R318" s="176">
        <f t="shared" si="78"/>
        <v>-7698.600000000002</v>
      </c>
      <c r="S318" s="176">
        <f t="shared" si="79"/>
        <v>75.00040591136845</v>
      </c>
      <c r="T318" s="129"/>
    </row>
    <row r="319" spans="2:20" s="7" customFormat="1" ht="93" customHeight="1" hidden="1">
      <c r="B319" s="7">
        <v>81</v>
      </c>
      <c r="C319" s="32" t="s">
        <v>374</v>
      </c>
      <c r="D319" s="32"/>
      <c r="E319" s="32"/>
      <c r="F319" s="115" t="s">
        <v>6</v>
      </c>
      <c r="G319" s="42" t="s">
        <v>7</v>
      </c>
      <c r="H319" s="166"/>
      <c r="I319" s="166"/>
      <c r="J319" s="176" t="e">
        <f t="shared" si="72"/>
        <v>#DIV/0!</v>
      </c>
      <c r="K319" s="166"/>
      <c r="L319" s="166"/>
      <c r="M319" s="166"/>
      <c r="N319" s="166"/>
      <c r="O319" s="169"/>
      <c r="P319" s="168">
        <f aca="true" t="shared" si="80" ref="P319:P324">H319+K319</f>
        <v>0</v>
      </c>
      <c r="Q319" s="168">
        <f aca="true" t="shared" si="81" ref="Q319:Q324">I319+N319</f>
        <v>0</v>
      </c>
      <c r="R319" s="176">
        <f aca="true" t="shared" si="82" ref="R319:R324">Q319-P319</f>
        <v>0</v>
      </c>
      <c r="S319" s="176" t="e">
        <f aca="true" t="shared" si="83" ref="S319:S324">Q319/P319*100</f>
        <v>#DIV/0!</v>
      </c>
      <c r="T319" s="129"/>
    </row>
    <row r="320" spans="3:20" s="7" customFormat="1" ht="93" customHeight="1" hidden="1">
      <c r="C320" s="32" t="s">
        <v>376</v>
      </c>
      <c r="D320" s="32"/>
      <c r="E320" s="32"/>
      <c r="F320" s="115" t="s">
        <v>375</v>
      </c>
      <c r="G320" s="42" t="s">
        <v>377</v>
      </c>
      <c r="H320" s="166"/>
      <c r="I320" s="166"/>
      <c r="J320" s="176" t="e">
        <f t="shared" si="72"/>
        <v>#DIV/0!</v>
      </c>
      <c r="K320" s="166"/>
      <c r="L320" s="166"/>
      <c r="M320" s="166"/>
      <c r="N320" s="166"/>
      <c r="O320" s="169"/>
      <c r="P320" s="168">
        <f t="shared" si="80"/>
        <v>0</v>
      </c>
      <c r="Q320" s="168">
        <f t="shared" si="81"/>
        <v>0</v>
      </c>
      <c r="R320" s="176">
        <f t="shared" si="82"/>
        <v>0</v>
      </c>
      <c r="S320" s="176" t="e">
        <f t="shared" si="83"/>
        <v>#DIV/0!</v>
      </c>
      <c r="T320" s="129"/>
    </row>
    <row r="321" spans="3:20" s="7" customFormat="1" ht="40.5" customHeight="1" hidden="1">
      <c r="C321" s="5" t="s">
        <v>283</v>
      </c>
      <c r="D321" s="5"/>
      <c r="E321" s="5"/>
      <c r="F321" s="115" t="s">
        <v>282</v>
      </c>
      <c r="G321" s="89" t="s">
        <v>284</v>
      </c>
      <c r="H321" s="166"/>
      <c r="I321" s="166"/>
      <c r="J321" s="176" t="e">
        <f t="shared" si="72"/>
        <v>#DIV/0!</v>
      </c>
      <c r="K321" s="166"/>
      <c r="L321" s="166"/>
      <c r="M321" s="166"/>
      <c r="N321" s="166"/>
      <c r="O321" s="169"/>
      <c r="P321" s="168">
        <f t="shared" si="80"/>
        <v>0</v>
      </c>
      <c r="Q321" s="168">
        <f t="shared" si="81"/>
        <v>0</v>
      </c>
      <c r="R321" s="176">
        <f t="shared" si="82"/>
        <v>0</v>
      </c>
      <c r="S321" s="176" t="e">
        <f t="shared" si="83"/>
        <v>#DIV/0!</v>
      </c>
      <c r="T321" s="129"/>
    </row>
    <row r="322" spans="3:20" s="7" customFormat="1" ht="77.25" customHeight="1" hidden="1">
      <c r="C322" s="36" t="s">
        <v>285</v>
      </c>
      <c r="D322" s="36"/>
      <c r="E322" s="36"/>
      <c r="F322" s="115"/>
      <c r="G322" s="92" t="s">
        <v>384</v>
      </c>
      <c r="H322" s="166"/>
      <c r="I322" s="166"/>
      <c r="J322" s="176" t="e">
        <f t="shared" si="72"/>
        <v>#DIV/0!</v>
      </c>
      <c r="K322" s="166"/>
      <c r="L322" s="166"/>
      <c r="M322" s="166"/>
      <c r="N322" s="166"/>
      <c r="O322" s="169"/>
      <c r="P322" s="168">
        <f t="shared" si="80"/>
        <v>0</v>
      </c>
      <c r="Q322" s="168">
        <f t="shared" si="81"/>
        <v>0</v>
      </c>
      <c r="R322" s="176">
        <f t="shared" si="82"/>
        <v>0</v>
      </c>
      <c r="S322" s="176" t="e">
        <f t="shared" si="83"/>
        <v>#DIV/0!</v>
      </c>
      <c r="T322" s="129"/>
    </row>
    <row r="323" spans="3:20" s="7" customFormat="1" ht="77.25" customHeight="1">
      <c r="C323" s="32" t="s">
        <v>374</v>
      </c>
      <c r="D323" s="32" t="s">
        <v>727</v>
      </c>
      <c r="E323" s="32"/>
      <c r="F323" s="115" t="s">
        <v>6</v>
      </c>
      <c r="G323" s="42" t="s">
        <v>7</v>
      </c>
      <c r="H323" s="166">
        <v>0.3</v>
      </c>
      <c r="I323" s="166">
        <v>0</v>
      </c>
      <c r="J323" s="176"/>
      <c r="K323" s="166"/>
      <c r="L323" s="166"/>
      <c r="M323" s="166"/>
      <c r="N323" s="166"/>
      <c r="O323" s="169"/>
      <c r="P323" s="168">
        <f t="shared" si="80"/>
        <v>0.3</v>
      </c>
      <c r="Q323" s="168">
        <f t="shared" si="81"/>
        <v>0</v>
      </c>
      <c r="R323" s="176">
        <f t="shared" si="82"/>
        <v>-0.3</v>
      </c>
      <c r="S323" s="176">
        <f t="shared" si="83"/>
        <v>0</v>
      </c>
      <c r="T323" s="129"/>
    </row>
    <row r="324" spans="1:20" s="7" customFormat="1" ht="36.75" customHeight="1">
      <c r="A324" s="50">
        <v>9</v>
      </c>
      <c r="B324" s="7">
        <v>6</v>
      </c>
      <c r="C324" s="32" t="s">
        <v>599</v>
      </c>
      <c r="D324" s="32" t="s">
        <v>436</v>
      </c>
      <c r="E324" s="32" t="s">
        <v>458</v>
      </c>
      <c r="F324" s="115" t="s">
        <v>197</v>
      </c>
      <c r="G324" s="43" t="s">
        <v>90</v>
      </c>
      <c r="H324" s="166">
        <f>H325</f>
        <v>666.2</v>
      </c>
      <c r="I324" s="166">
        <f>SUM(I325)</f>
        <v>0</v>
      </c>
      <c r="J324" s="176">
        <f t="shared" si="72"/>
        <v>0</v>
      </c>
      <c r="K324" s="166"/>
      <c r="L324" s="166">
        <f>SUM(L325)</f>
        <v>0</v>
      </c>
      <c r="M324" s="166"/>
      <c r="N324" s="166"/>
      <c r="O324" s="167">
        <f>SUM(O325)</f>
        <v>0</v>
      </c>
      <c r="P324" s="168">
        <f t="shared" si="80"/>
        <v>666.2</v>
      </c>
      <c r="Q324" s="168">
        <f t="shared" si="81"/>
        <v>0</v>
      </c>
      <c r="R324" s="176">
        <f t="shared" si="82"/>
        <v>-666.2</v>
      </c>
      <c r="S324" s="176">
        <f t="shared" si="83"/>
        <v>0</v>
      </c>
      <c r="T324" s="14">
        <f>SUM(T325)</f>
        <v>0</v>
      </c>
    </row>
    <row r="325" spans="3:20" s="39" customFormat="1" ht="44.25" customHeight="1">
      <c r="C325" s="35" t="s">
        <v>642</v>
      </c>
      <c r="D325" s="35" t="s">
        <v>437</v>
      </c>
      <c r="E325" s="35" t="s">
        <v>458</v>
      </c>
      <c r="F325" s="120"/>
      <c r="G325" s="37" t="s">
        <v>632</v>
      </c>
      <c r="H325" s="170">
        <v>666.2</v>
      </c>
      <c r="I325" s="170">
        <v>0</v>
      </c>
      <c r="J325" s="176">
        <f t="shared" si="72"/>
        <v>0</v>
      </c>
      <c r="K325" s="170"/>
      <c r="L325" s="170"/>
      <c r="M325" s="170"/>
      <c r="N325" s="170"/>
      <c r="O325" s="172"/>
      <c r="P325" s="168">
        <f>H325+K325</f>
        <v>666.2</v>
      </c>
      <c r="Q325" s="168">
        <f>I325+N325</f>
        <v>0</v>
      </c>
      <c r="R325" s="176">
        <f>Q325-P325</f>
        <v>-666.2</v>
      </c>
      <c r="S325" s="176">
        <f>Q325/P325*100</f>
        <v>0</v>
      </c>
      <c r="T325" s="133"/>
    </row>
    <row r="326" spans="3:22" s="50" customFormat="1" ht="42" customHeight="1">
      <c r="C326" s="30"/>
      <c r="D326" s="30"/>
      <c r="E326" s="30"/>
      <c r="F326" s="121"/>
      <c r="G326" s="64" t="s">
        <v>137</v>
      </c>
      <c r="H326" s="200">
        <f>SUM(H313:H324)</f>
        <v>59347.700000000004</v>
      </c>
      <c r="I326" s="200">
        <f>SUM(I313:I324)</f>
        <v>25045.5</v>
      </c>
      <c r="J326" s="176">
        <f t="shared" si="72"/>
        <v>42.20129844964505</v>
      </c>
      <c r="K326" s="200">
        <f aca="true" t="shared" si="84" ref="K326:Q326">SUM(K313:K324)</f>
        <v>0</v>
      </c>
      <c r="L326" s="200">
        <f t="shared" si="84"/>
        <v>0</v>
      </c>
      <c r="M326" s="200">
        <f t="shared" si="84"/>
        <v>0</v>
      </c>
      <c r="N326" s="200">
        <f t="shared" si="84"/>
        <v>0</v>
      </c>
      <c r="O326" s="201">
        <f t="shared" si="84"/>
        <v>0</v>
      </c>
      <c r="P326" s="200">
        <f t="shared" si="84"/>
        <v>59347.700000000004</v>
      </c>
      <c r="Q326" s="200">
        <f t="shared" si="84"/>
        <v>25045.5</v>
      </c>
      <c r="R326" s="202">
        <f>Q326-P326</f>
        <v>-34302.200000000004</v>
      </c>
      <c r="S326" s="202">
        <f>Q326/P326*100</f>
        <v>42.20129844964505</v>
      </c>
      <c r="T326" s="72">
        <f>SUM(T313:T324)</f>
        <v>0</v>
      </c>
      <c r="U326" s="53"/>
      <c r="V326" s="53"/>
    </row>
    <row r="327" spans="3:22" s="50" customFormat="1" ht="42" customHeight="1" hidden="1">
      <c r="C327" s="30"/>
      <c r="D327" s="30"/>
      <c r="E327" s="30"/>
      <c r="F327" s="121"/>
      <c r="G327" s="64"/>
      <c r="H327" s="199"/>
      <c r="I327" s="199"/>
      <c r="J327" s="176"/>
      <c r="K327" s="199"/>
      <c r="L327" s="199"/>
      <c r="M327" s="199"/>
      <c r="N327" s="199"/>
      <c r="O327" s="201"/>
      <c r="P327" s="199"/>
      <c r="Q327" s="199"/>
      <c r="R327" s="201"/>
      <c r="S327" s="201"/>
      <c r="T327" s="72"/>
      <c r="U327" s="53"/>
      <c r="V327" s="53"/>
    </row>
    <row r="328" spans="3:22" s="211" customFormat="1" ht="34.5" customHeight="1">
      <c r="C328" s="212"/>
      <c r="D328" s="212"/>
      <c r="E328" s="212"/>
      <c r="F328" s="213"/>
      <c r="G328" s="105" t="s">
        <v>216</v>
      </c>
      <c r="H328" s="174">
        <f>H310+H205+H326+H277+H172+H166+H64+H58+H30+H286</f>
        <v>373341.42489</v>
      </c>
      <c r="I328" s="174">
        <f>I310+I205+I326+I277+I172+I166+I64+I58+I30+I286</f>
        <v>252842.76218000002</v>
      </c>
      <c r="J328" s="176">
        <f t="shared" si="72"/>
        <v>67.72427202646925</v>
      </c>
      <c r="K328" s="174">
        <f>K310+K205+K326+K277+K172+K166+K64+K58+K30+K286</f>
        <v>62728.368960000014</v>
      </c>
      <c r="L328" s="174">
        <f>L310+L205+L326+L277+L172+L166+L64+L58+L30+L286</f>
        <v>0</v>
      </c>
      <c r="M328" s="174">
        <f>M310+M205+M326+M277+M172+M166+M64+M58+M30+M286</f>
        <v>30307.31514</v>
      </c>
      <c r="N328" s="174">
        <f>N310+N205+N326+N277+N172+N166+N64+N58+N30+N286</f>
        <v>19479.651640000004</v>
      </c>
      <c r="O328" s="175">
        <f>M328/K328*100</f>
        <v>48.31516527924719</v>
      </c>
      <c r="P328" s="174">
        <f>P310+P205+P326+P277+P172+P166+P64+P58+P30+P286</f>
        <v>436069.7938500001</v>
      </c>
      <c r="Q328" s="174">
        <f>Q310+Q205+Q326+Q277+Q172+Q166+Q64+Q58+Q30+Q286</f>
        <v>283150.07732</v>
      </c>
      <c r="R328" s="175">
        <f>R310+R205+R326+R277+R172+R64+R58+R30+R286</f>
        <v>-112872.52962999998</v>
      </c>
      <c r="S328" s="175">
        <f>Q328/P328*100</f>
        <v>64.93228407776355</v>
      </c>
      <c r="T328" s="209" t="e">
        <f>T310+T205+T326+T277+T172+#REF!+T64+T58+T30+T286</f>
        <v>#REF!</v>
      </c>
      <c r="U328" s="214"/>
      <c r="V328" s="214"/>
    </row>
    <row r="329" spans="3:22" ht="49.5" customHeight="1">
      <c r="C329" s="32"/>
      <c r="D329" s="32"/>
      <c r="E329" s="32"/>
      <c r="F329" s="115"/>
      <c r="G329" s="33" t="s">
        <v>699</v>
      </c>
      <c r="H329" s="166">
        <f>H36+H39+H75+H84+H126+H128+H137+H138+H144+H152+H38+H41+H43+H69+H71+H76+H91+H92+H100+H116+H127+H240+H247+H316+H323</f>
        <v>151345.15089</v>
      </c>
      <c r="I329" s="166">
        <f>I36+I39+I75+I84+I126+I128+I137+I138+I144+I152+I38+I41+I43+I69+I71+I76+I91+I92+I100+I116+I127+I240+I247+I316+I323</f>
        <v>95242.91399000002</v>
      </c>
      <c r="J329" s="176">
        <f t="shared" si="72"/>
        <v>62.930931998755646</v>
      </c>
      <c r="K329" s="166">
        <f>K38+K41+K43+K71+K76+K91+K92+K100+K116+K127+K240+K323+K36+K39+K84+K126+K128+K137+K138+K144+K152+K75+K247</f>
        <v>4161.5</v>
      </c>
      <c r="L329" s="166">
        <f>L38+L41+L43+L71+L76+L91+L92+L100+L116+L127+L240+L323+L36+L39+L84+L126+L128+L137+L138+L144+L152+L75+L247</f>
        <v>0</v>
      </c>
      <c r="M329" s="166">
        <f>M38+M41+M43+M71+M76+M91+M92+M100+M116+M127+M240+M323+M36+M39+M84+M126+M128+M137+M138+M144+M152+M75+M247</f>
        <v>2234.1</v>
      </c>
      <c r="N329" s="166">
        <f>N38+N41+N43+N71+N76+N91+N92+N100+N116+N127+N240+N323+N36+N39+N84+N126+N128+N137+N138+N144+N152+N75+N247</f>
        <v>2234.1</v>
      </c>
      <c r="O329" s="167">
        <v>0</v>
      </c>
      <c r="P329" s="166">
        <f>H329+K329</f>
        <v>155506.65089</v>
      </c>
      <c r="Q329" s="166">
        <f>I329+M329</f>
        <v>97477.01399000002</v>
      </c>
      <c r="R329" s="167">
        <f>R67+R38+R319+R296+R23+R40+R41+R320+R233+R42</f>
        <v>-33073.7369</v>
      </c>
      <c r="S329" s="167">
        <f>Q329/P329*100</f>
        <v>62.68350159437996</v>
      </c>
      <c r="T329" s="14">
        <f>T67+T38+T319+T296+T23+T40+T41+T320+T233+T42</f>
        <v>0</v>
      </c>
      <c r="U329" s="15"/>
      <c r="V329" s="15"/>
    </row>
    <row r="330" spans="7:20" ht="24.75" customHeight="1" hidden="1">
      <c r="G330" s="1" t="s">
        <v>338</v>
      </c>
      <c r="H330" s="14">
        <f>I330+L330</f>
        <v>40.9</v>
      </c>
      <c r="I330" s="12">
        <f>I40</f>
        <v>40.9</v>
      </c>
      <c r="J330" s="12">
        <f>J40</f>
        <v>87.20682302771856</v>
      </c>
      <c r="K330" s="12">
        <f>K40</f>
        <v>70</v>
      </c>
      <c r="L330" s="12">
        <f>L40</f>
        <v>0</v>
      </c>
      <c r="M330" s="12">
        <f>M40</f>
        <v>40</v>
      </c>
      <c r="N330" s="12"/>
      <c r="O330" s="12">
        <f aca="true" t="shared" si="85" ref="O330:T330">O40</f>
        <v>57.14285714285714</v>
      </c>
      <c r="P330" s="12">
        <f t="shared" si="85"/>
        <v>116.9</v>
      </c>
      <c r="Q330" s="12">
        <f t="shared" si="85"/>
        <v>80.9</v>
      </c>
      <c r="R330" s="12">
        <f t="shared" si="85"/>
        <v>-36</v>
      </c>
      <c r="S330" s="12">
        <f t="shared" si="85"/>
        <v>69.20444824636441</v>
      </c>
      <c r="T330" s="12">
        <f t="shared" si="85"/>
        <v>0</v>
      </c>
    </row>
    <row r="331" spans="3:22" s="11" customFormat="1" ht="21" customHeight="1" hidden="1">
      <c r="C331" s="28"/>
      <c r="D331" s="28"/>
      <c r="E331" s="28"/>
      <c r="F331" s="124"/>
      <c r="G331" s="29" t="s">
        <v>339</v>
      </c>
      <c r="H331" s="14">
        <f>I331+L331</f>
        <v>0</v>
      </c>
      <c r="I331" s="97">
        <f>I73+I72</f>
        <v>0</v>
      </c>
      <c r="J331" s="97" t="e">
        <f>J73+J72</f>
        <v>#DIV/0!</v>
      </c>
      <c r="K331" s="97">
        <f>K73+K72</f>
        <v>0</v>
      </c>
      <c r="L331" s="97">
        <f>L73+L72</f>
        <v>0</v>
      </c>
      <c r="M331" s="97">
        <f>M73+M72</f>
        <v>0</v>
      </c>
      <c r="N331" s="97"/>
      <c r="O331" s="97" t="e">
        <f aca="true" t="shared" si="86" ref="O331:T331">O73+O72</f>
        <v>#DIV/0!</v>
      </c>
      <c r="P331" s="97">
        <f t="shared" si="86"/>
        <v>0</v>
      </c>
      <c r="Q331" s="97">
        <f t="shared" si="86"/>
        <v>0</v>
      </c>
      <c r="R331" s="97">
        <f t="shared" si="86"/>
        <v>0</v>
      </c>
      <c r="S331" s="97" t="e">
        <f t="shared" si="86"/>
        <v>#DIV/0!</v>
      </c>
      <c r="T331" s="97">
        <f t="shared" si="86"/>
        <v>0</v>
      </c>
      <c r="U331" s="150"/>
      <c r="V331" s="149" t="e">
        <f>U331-#REF!</f>
        <v>#REF!</v>
      </c>
    </row>
    <row r="332" spans="3:20" s="110" customFormat="1" ht="71.25" customHeight="1">
      <c r="C332" s="109"/>
      <c r="D332" s="109"/>
      <c r="E332" s="109"/>
      <c r="F332" s="244" t="s">
        <v>747</v>
      </c>
      <c r="G332" s="244"/>
      <c r="H332" s="244"/>
      <c r="I332" s="109"/>
      <c r="J332" s="109"/>
      <c r="L332" s="111"/>
      <c r="M332" s="112"/>
      <c r="N332" s="112"/>
      <c r="O332" s="113"/>
      <c r="P332" s="112"/>
      <c r="Q332" s="112"/>
      <c r="R332" s="241" t="s">
        <v>378</v>
      </c>
      <c r="S332" s="241"/>
      <c r="T332" s="142"/>
    </row>
    <row r="333" spans="3:20" s="21" customFormat="1" ht="20.25">
      <c r="C333" s="27"/>
      <c r="D333" s="27"/>
      <c r="E333" s="27"/>
      <c r="F333" s="125"/>
      <c r="G333" s="79"/>
      <c r="H333" s="13"/>
      <c r="I333" s="13"/>
      <c r="J333" s="13"/>
      <c r="K333" s="16"/>
      <c r="L333" s="103"/>
      <c r="M333" s="13"/>
      <c r="N333" s="13"/>
      <c r="O333" s="14"/>
      <c r="P333" s="16"/>
      <c r="Q333" s="16"/>
      <c r="S333" s="99"/>
      <c r="T333" s="143"/>
    </row>
    <row r="334" spans="7:20" ht="20.25">
      <c r="G334" s="80"/>
      <c r="H334" s="221"/>
      <c r="I334" s="57"/>
      <c r="J334" s="57"/>
      <c r="K334" s="91"/>
      <c r="L334" s="104"/>
      <c r="M334" s="57"/>
      <c r="N334" s="57"/>
      <c r="O334" s="58"/>
      <c r="P334" s="58"/>
      <c r="Q334" s="58"/>
      <c r="R334" s="57"/>
      <c r="S334" s="57"/>
      <c r="T334" s="144"/>
    </row>
    <row r="335" spans="3:20" s="7" customFormat="1" ht="18.75">
      <c r="C335" s="27"/>
      <c r="D335" s="27"/>
      <c r="E335" s="27"/>
      <c r="F335" s="114"/>
      <c r="G335" s="80"/>
      <c r="H335" s="12"/>
      <c r="I335" s="12"/>
      <c r="J335" s="12"/>
      <c r="K335" s="12"/>
      <c r="L335" s="101"/>
      <c r="M335" s="12"/>
      <c r="N335" s="12"/>
      <c r="O335" s="12"/>
      <c r="P335" s="12"/>
      <c r="Q335" s="12"/>
      <c r="R335" s="12"/>
      <c r="S335" s="12"/>
      <c r="T335" s="141"/>
    </row>
    <row r="336" spans="3:20" s="7" customFormat="1" ht="18.75">
      <c r="C336" s="27"/>
      <c r="D336" s="27"/>
      <c r="E336" s="27"/>
      <c r="F336" s="126"/>
      <c r="G336" s="81"/>
      <c r="H336" s="12"/>
      <c r="I336" s="12"/>
      <c r="J336" s="12"/>
      <c r="K336" s="12"/>
      <c r="L336" s="101"/>
      <c r="M336" s="12"/>
      <c r="N336" s="12"/>
      <c r="O336" s="12"/>
      <c r="P336" s="12"/>
      <c r="Q336" s="12"/>
      <c r="R336" s="12"/>
      <c r="S336" s="12"/>
      <c r="T336" s="141"/>
    </row>
    <row r="337" spans="3:20" s="7" customFormat="1" ht="18.75">
      <c r="C337" s="27"/>
      <c r="D337" s="27"/>
      <c r="E337" s="27"/>
      <c r="F337" s="127"/>
      <c r="G337" s="80"/>
      <c r="H337" s="14"/>
      <c r="I337" s="203"/>
      <c r="J337" s="205"/>
      <c r="K337" s="14"/>
      <c r="L337" s="102"/>
      <c r="M337" s="12"/>
      <c r="N337" s="12"/>
      <c r="O337" s="20"/>
      <c r="P337" s="12"/>
      <c r="Q337" s="12"/>
      <c r="R337" s="12"/>
      <c r="S337" s="12"/>
      <c r="T337" s="141"/>
    </row>
    <row r="338" spans="6:20" ht="18.75">
      <c r="F338" s="127"/>
      <c r="G338" s="82"/>
      <c r="H338" s="6"/>
      <c r="I338" s="203"/>
      <c r="J338" s="206"/>
      <c r="K338" s="6"/>
      <c r="M338" s="6"/>
      <c r="N338" s="6"/>
      <c r="O338" s="23"/>
      <c r="P338" s="6"/>
      <c r="Q338" s="6"/>
      <c r="R338" s="6"/>
      <c r="S338" s="6"/>
      <c r="T338" s="145"/>
    </row>
    <row r="339" spans="6:20" ht="18.75">
      <c r="F339" s="127"/>
      <c r="G339" s="82"/>
      <c r="H339" s="6"/>
      <c r="I339" s="204"/>
      <c r="J339" s="207"/>
      <c r="K339" s="6"/>
      <c r="M339" s="6"/>
      <c r="N339" s="6"/>
      <c r="O339" s="23"/>
      <c r="P339" s="6"/>
      <c r="Q339" s="6"/>
      <c r="R339" s="6"/>
      <c r="S339" s="6"/>
      <c r="T339" s="145"/>
    </row>
    <row r="340" spans="7:10" ht="18.75">
      <c r="G340" s="80"/>
      <c r="I340" s="204"/>
      <c r="J340" s="208"/>
    </row>
    <row r="341" spans="7:20" ht="18.75">
      <c r="G341" s="80"/>
      <c r="H341" s="6"/>
      <c r="I341" s="203"/>
      <c r="J341" s="208"/>
      <c r="K341" s="6"/>
      <c r="M341" s="6"/>
      <c r="N341" s="6"/>
      <c r="O341" s="24"/>
      <c r="P341" s="6"/>
      <c r="Q341" s="6"/>
      <c r="R341" s="6"/>
      <c r="S341" s="6"/>
      <c r="T341" s="145"/>
    </row>
    <row r="342" spans="7:10" ht="18.75">
      <c r="G342" s="80"/>
      <c r="I342" s="204"/>
      <c r="J342" s="208"/>
    </row>
    <row r="343" spans="7:20" ht="18.75">
      <c r="G343" s="80"/>
      <c r="H343" s="6"/>
      <c r="I343" s="203"/>
      <c r="J343" s="208"/>
      <c r="K343" s="6"/>
      <c r="M343" s="6"/>
      <c r="N343" s="6"/>
      <c r="O343" s="25"/>
      <c r="P343" s="6"/>
      <c r="Q343" s="6"/>
      <c r="R343" s="6"/>
      <c r="S343" s="6"/>
      <c r="T343" s="145"/>
    </row>
    <row r="344" spans="7:11" ht="18.75">
      <c r="G344" s="80"/>
      <c r="I344" s="101"/>
      <c r="J344" s="210"/>
      <c r="K344" s="208"/>
    </row>
    <row r="345" spans="7:10" ht="18.75">
      <c r="G345" s="80"/>
      <c r="H345" s="4"/>
      <c r="I345" s="4"/>
      <c r="J345" s="208"/>
    </row>
    <row r="346" spans="7:9" ht="18.75">
      <c r="G346" s="80"/>
      <c r="H346" s="4"/>
      <c r="I346" s="4"/>
    </row>
    <row r="347" spans="7:10" ht="18.75">
      <c r="G347" s="80"/>
      <c r="J347" s="12"/>
    </row>
    <row r="348" ht="18.75">
      <c r="G348" s="12"/>
    </row>
  </sheetData>
  <sheetProtection/>
  <mergeCells count="27">
    <mergeCell ref="R332:S332"/>
    <mergeCell ref="G7:G8"/>
    <mergeCell ref="O94:O95"/>
    <mergeCell ref="O8:O10"/>
    <mergeCell ref="Q8:Q10"/>
    <mergeCell ref="F332:H332"/>
    <mergeCell ref="L8:L10"/>
    <mergeCell ref="I8:I10"/>
    <mergeCell ref="P8:P10"/>
    <mergeCell ref="S8:S10"/>
    <mergeCell ref="C7:C10"/>
    <mergeCell ref="F7:F10"/>
    <mergeCell ref="H8:H10"/>
    <mergeCell ref="J8:J10"/>
    <mergeCell ref="K8:K10"/>
    <mergeCell ref="H7:J7"/>
    <mergeCell ref="K7:O7"/>
    <mergeCell ref="P7:S7"/>
    <mergeCell ref="M8:N9"/>
    <mergeCell ref="P1:S1"/>
    <mergeCell ref="F5:T5"/>
    <mergeCell ref="S6:T6"/>
    <mergeCell ref="P2:S2"/>
    <mergeCell ref="D4:T4"/>
    <mergeCell ref="D7:D10"/>
    <mergeCell ref="E7:E10"/>
    <mergeCell ref="R8:R10"/>
  </mergeCells>
  <conditionalFormatting sqref="M304:N305 M264:N264 M25:N25 H16 M62:N62 L313:L317 H175:I175 M307:N309 M301:N301 O208:T208 O175:T175 H35:H36 H33:Q33 T39:T42 H212:I213 M223:N224 O313:T313 M238:N243 M295:N299 H15:I15 M229:N233 M293:N293 H289:I289 I290:I291 O213:T213 H208:I208 K15:L15 K175:L175 K208:L208 K289:T289 K212:L213 T15 T45:T49 T51 O34:O42 H34:I34 S33:T33 T34:T36 M130:M134 P176:S177 T212 R209:S212 K290:L291 O290:T291 T293 O314:O317 T314:T317 J34:J64 J105:J329 O44:O58 M235:N236 O292:O295 P34:Q56 S34:S56 K34:N34 P314:S325">
    <cfRule type="cellIs" priority="35" dxfId="20" operator="equal" stopIfTrue="1">
      <formula>0</formula>
    </cfRule>
  </conditionalFormatting>
  <conditionalFormatting sqref="T77">
    <cfRule type="cellIs" priority="23" dxfId="20" operator="equal" stopIfTrue="1">
      <formula>0</formula>
    </cfRule>
  </conditionalFormatting>
  <conditionalFormatting sqref="T50">
    <cfRule type="cellIs" priority="21" dxfId="20" operator="equal" stopIfTrue="1">
      <formula>0</formula>
    </cfRule>
  </conditionalFormatting>
  <conditionalFormatting sqref="M215:N217">
    <cfRule type="cellIs" priority="20" dxfId="20" operator="equal" stopIfTrue="1">
      <formula>0</formula>
    </cfRule>
  </conditionalFormatting>
  <conditionalFormatting sqref="H280:I283 K280:T283 P284:S285">
    <cfRule type="cellIs" priority="19" dxfId="20" operator="equal" stopIfTrue="1">
      <formula>0</formula>
    </cfRule>
  </conditionalFormatting>
  <conditionalFormatting sqref="T44">
    <cfRule type="cellIs" priority="18" dxfId="20" operator="equal" stopIfTrue="1">
      <formula>0</formula>
    </cfRule>
  </conditionalFormatting>
  <conditionalFormatting sqref="H209:H211 I211 I209 K211:L211 K209:L209 O209:Q212 T209:T211">
    <cfRule type="cellIs" priority="17" dxfId="20" operator="equal" stopIfTrue="1">
      <formula>0</formula>
    </cfRule>
  </conditionalFormatting>
  <conditionalFormatting sqref="M302:T302">
    <cfRule type="cellIs" priority="15" dxfId="20" operator="equal" stopIfTrue="1">
      <formula>0</formula>
    </cfRule>
  </conditionalFormatting>
  <conditionalFormatting sqref="M237:N237">
    <cfRule type="cellIs" priority="13" dxfId="20" operator="equal" stopIfTrue="1">
      <formula>0</formula>
    </cfRule>
  </conditionalFormatting>
  <conditionalFormatting sqref="M222:N222">
    <cfRule type="cellIs" priority="12" dxfId="20" operator="equal" stopIfTrue="1">
      <formula>0</formula>
    </cfRule>
  </conditionalFormatting>
  <conditionalFormatting sqref="M246:N246">
    <cfRule type="cellIs" priority="11" dxfId="20" operator="equal" stopIfTrue="1">
      <formula>0</formula>
    </cfRule>
  </conditionalFormatting>
  <conditionalFormatting sqref="M225:N225">
    <cfRule type="cellIs" priority="10" dxfId="20" operator="equal" stopIfTrue="1">
      <formula>0</formula>
    </cfRule>
  </conditionalFormatting>
  <conditionalFormatting sqref="H273:H276">
    <cfRule type="cellIs" priority="9" dxfId="20" operator="equal" stopIfTrue="1">
      <formula>0</formula>
    </cfRule>
  </conditionalFormatting>
  <conditionalFormatting sqref="J67:J93">
    <cfRule type="cellIs" priority="8" dxfId="20" operator="equal" stopIfTrue="1">
      <formula>0</formula>
    </cfRule>
  </conditionalFormatting>
  <conditionalFormatting sqref="J96:J100">
    <cfRule type="cellIs" priority="7" dxfId="20" operator="equal" stopIfTrue="1">
      <formula>0</formula>
    </cfRule>
  </conditionalFormatting>
  <conditionalFormatting sqref="J103:J104">
    <cfRule type="cellIs" priority="6" dxfId="20" operator="equal" stopIfTrue="1">
      <formula>0</formula>
    </cfRule>
  </conditionalFormatting>
  <conditionalFormatting sqref="K35">
    <cfRule type="cellIs" priority="4" dxfId="20" operator="equal" stopIfTrue="1">
      <formula>0</formula>
    </cfRule>
  </conditionalFormatting>
  <conditionalFormatting sqref="M77">
    <cfRule type="cellIs" priority="3" dxfId="20" operator="equal" stopIfTrue="1">
      <formula>0</formula>
    </cfRule>
  </conditionalFormatting>
  <conditionalFormatting sqref="N43:O43">
    <cfRule type="cellIs" priority="2" dxfId="20" operator="equal" stopIfTrue="1">
      <formula>0</formula>
    </cfRule>
  </conditionalFormatting>
  <conditionalFormatting sqref="O67:O77">
    <cfRule type="cellIs" priority="1" dxfId="20" operator="equal" stopIfTrue="1">
      <formula>0</formula>
    </cfRule>
  </conditionalFormatting>
  <printOptions horizontalCentered="1"/>
  <pageMargins left="0.11811023622047245" right="0.11811023622047245" top="0.984251968503937" bottom="0.3937007874015748" header="0.5118110236220472" footer="0"/>
  <pageSetup blackAndWhite="1" fitToHeight="21" fitToWidth="1" horizontalDpi="600" verticalDpi="600" orientation="landscape" paperSize="9" scale="45" r:id="rId1"/>
  <headerFooter differentFirst="1" alignWithMargins="0">
    <oddFooter>&amp;C&amp;P</oddFooter>
  </headerFooter>
  <rowBreaks count="8" manualBreakCount="8">
    <brk id="30" max="18" man="1"/>
    <brk id="166" max="18" man="1"/>
    <brk id="186" max="18" man="1"/>
    <brk id="205" max="18" man="1"/>
    <brk id="234" max="18" man="1"/>
    <brk id="250" max="18" man="1"/>
    <brk id="277" max="18" man="1"/>
    <brk id="289"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Света</dc:creator>
  <cp:keywords/>
  <dc:description/>
  <cp:lastModifiedBy>Корецкая</cp:lastModifiedBy>
  <cp:lastPrinted>2017-10-23T11:41:52Z</cp:lastPrinted>
  <dcterms:created xsi:type="dcterms:W3CDTF">2002-12-16T07:25:53Z</dcterms:created>
  <dcterms:modified xsi:type="dcterms:W3CDTF">2017-10-23T11:42:54Z</dcterms:modified>
  <cp:category/>
  <cp:version/>
  <cp:contentType/>
  <cp:contentStatus/>
</cp:coreProperties>
</file>